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9720" windowHeight="6225" tabRatio="601" activeTab="0"/>
  </bookViews>
  <sheets>
    <sheet name="Základní část" sheetId="1" r:id="rId1"/>
    <sheet name="Finálová část" sheetId="2" r:id="rId2"/>
    <sheet name="Seznam" sheetId="3" r:id="rId3"/>
    <sheet name="Pořadí ve skupinách" sheetId="4" r:id="rId4"/>
    <sheet name="Družstva" sheetId="5" r:id="rId5"/>
    <sheet name="Pořadí - jednotlivci" sheetId="6" r:id="rId6"/>
    <sheet name="Pořadí - jednotlivci - WORD" sheetId="7" r:id="rId7"/>
    <sheet name="Pořadí - družstva" sheetId="8" r:id="rId8"/>
  </sheets>
  <definedNames/>
  <calcPr fullCalcOnLoad="1"/>
</workbook>
</file>

<file path=xl/sharedStrings.xml><?xml version="1.0" encoding="utf-8"?>
<sst xmlns="http://schemas.openxmlformats.org/spreadsheetml/2006/main" count="315" uniqueCount="204">
  <si>
    <t>4. OP</t>
  </si>
  <si>
    <t>Body ze ZČ</t>
  </si>
  <si>
    <t>Body</t>
  </si>
  <si>
    <t>Skupina A</t>
  </si>
  <si>
    <t>body</t>
  </si>
  <si>
    <t>skóre</t>
  </si>
  <si>
    <t>místo</t>
  </si>
  <si>
    <t>"1-6"</t>
  </si>
  <si>
    <t>XXX</t>
  </si>
  <si>
    <t>"2-5"</t>
  </si>
  <si>
    <t>"3-4"</t>
  </si>
  <si>
    <t>"6-4"</t>
  </si>
  <si>
    <t>"5-3"</t>
  </si>
  <si>
    <t>"1-2"</t>
  </si>
  <si>
    <t>"2-6"</t>
  </si>
  <si>
    <t>"3-1"</t>
  </si>
  <si>
    <t>1.</t>
  </si>
  <si>
    <t>"4-5"</t>
  </si>
  <si>
    <t>2.</t>
  </si>
  <si>
    <t>"6-5"</t>
  </si>
  <si>
    <t>3.</t>
  </si>
  <si>
    <t>"1-4"</t>
  </si>
  <si>
    <t>4.</t>
  </si>
  <si>
    <t>"2-3"</t>
  </si>
  <si>
    <t>5.</t>
  </si>
  <si>
    <t>"3-6"</t>
  </si>
  <si>
    <t>6.</t>
  </si>
  <si>
    <t>"4-2"</t>
  </si>
  <si>
    <t>"5-1"</t>
  </si>
  <si>
    <t>Skupina B</t>
  </si>
  <si>
    <t>Body ze zč</t>
  </si>
  <si>
    <t>Bonus ze zč</t>
  </si>
  <si>
    <t>Q1</t>
  </si>
  <si>
    <t>Q2</t>
  </si>
  <si>
    <t>Q3</t>
  </si>
  <si>
    <t>Q4</t>
  </si>
  <si>
    <t>P1</t>
  </si>
  <si>
    <t>P2</t>
  </si>
  <si>
    <t>P3</t>
  </si>
  <si>
    <t>P4</t>
  </si>
  <si>
    <t>B4</t>
  </si>
  <si>
    <t>A4</t>
  </si>
  <si>
    <t>A1</t>
  </si>
  <si>
    <t>x</t>
  </si>
  <si>
    <t>A3</t>
  </si>
  <si>
    <t>B2</t>
  </si>
  <si>
    <t>A2</t>
  </si>
  <si>
    <t>B3</t>
  </si>
  <si>
    <t>y</t>
  </si>
  <si>
    <t>B1</t>
  </si>
  <si>
    <t>A5</t>
  </si>
  <si>
    <t>a</t>
  </si>
  <si>
    <t>B6</t>
  </si>
  <si>
    <t>A6</t>
  </si>
  <si>
    <t>b</t>
  </si>
  <si>
    <t>B5</t>
  </si>
  <si>
    <t>Označení</t>
  </si>
  <si>
    <t>Bonus</t>
  </si>
  <si>
    <t>Jméno</t>
  </si>
  <si>
    <t>Naroz.</t>
  </si>
  <si>
    <t>Oddíl</t>
  </si>
  <si>
    <t>Možno upravit</t>
  </si>
  <si>
    <t>Pořadí</t>
  </si>
  <si>
    <t>Starší žáci</t>
  </si>
  <si>
    <t>Číslo</t>
  </si>
  <si>
    <t>Nar</t>
  </si>
  <si>
    <t>Bodů</t>
  </si>
  <si>
    <t>Oddíl upr.</t>
  </si>
  <si>
    <t>Družstvo</t>
  </si>
  <si>
    <t>1. hráč</t>
  </si>
  <si>
    <t>2. hráč</t>
  </si>
  <si>
    <t>3.hráč</t>
  </si>
  <si>
    <t>Celkem</t>
  </si>
  <si>
    <t>HB</t>
  </si>
  <si>
    <t>Sokol Kutná Hora 'B'</t>
  </si>
  <si>
    <t>Jiskra Zruč nad Sázavou 'B'</t>
  </si>
  <si>
    <t>Kavalier Sázava 'B'</t>
  </si>
  <si>
    <t>Sokol Čáslav</t>
  </si>
  <si>
    <t>Sokol Chlístovice</t>
  </si>
  <si>
    <t>Mladší žáci</t>
  </si>
  <si>
    <t>Kavalier Sázava</t>
  </si>
  <si>
    <t>Jiskra Zruč nad Sázavou</t>
  </si>
  <si>
    <t>Sokol Kutná Hora</t>
  </si>
  <si>
    <t>neřadit !!</t>
  </si>
  <si>
    <t>Pořadí - Jednotlivci:</t>
  </si>
  <si>
    <t>ZČ</t>
  </si>
  <si>
    <t>Úč</t>
  </si>
  <si>
    <t>Um</t>
  </si>
  <si>
    <t>fin.</t>
  </si>
  <si>
    <t>Cel+B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</si>
  <si>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</si>
  <si>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</si>
  <si>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</si>
  <si>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</si>
  <si>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</si>
  <si>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</si>
  <si>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</si>
  <si>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</si>
  <si>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</si>
  <si>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</si>
  <si>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</si>
  <si>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</si>
  <si>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</si>
  <si>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</si>
  <si>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</si>
  <si>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</si>
  <si>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</si>
  <si>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</si>
  <si>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</si>
  <si>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</si>
  <si>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</si>
  <si>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</si>
  <si>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</si>
  <si>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</si>
  <si>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</si>
  <si>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</si>
  <si>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</si>
  <si>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</si>
  <si>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</si>
  <si>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</si>
  <si>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</si>
  <si>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</si>
  <si>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</si>
  <si>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</si>
  <si>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</si>
  <si>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</si>
  <si>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</si>
  <si>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</si>
  <si>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</si>
  <si>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</si>
  <si>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</si>
  <si>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</si>
  <si>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</si>
  <si>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</si>
  <si>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</si>
  <si>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</si>
  <si>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</si>
  <si>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</si>
  <si>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</si>
  <si>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</si>
  <si>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</si>
  <si>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</si>
  <si>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</si>
  <si>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</si>
  <si>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</si>
  <si>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</si>
  <si>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</si>
  <si>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</si>
  <si>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</si>
  <si>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</si>
  <si>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</si>
  <si>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</si>
  <si>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Pořadí - družstva - starší žáci:</t>
  </si>
  <si>
    <t>Pořadí - družstva - mladší žáci:</t>
  </si>
  <si>
    <t>Vrána</t>
  </si>
  <si>
    <t>Trmal</t>
  </si>
  <si>
    <t>Herout</t>
  </si>
  <si>
    <t>Šašinka</t>
  </si>
  <si>
    <t>Choutka</t>
  </si>
  <si>
    <t>Václ</t>
  </si>
  <si>
    <t>Tůma</t>
  </si>
  <si>
    <t>Choutková</t>
  </si>
  <si>
    <t>Holinková</t>
  </si>
  <si>
    <t>Gregor</t>
  </si>
  <si>
    <t>Němec</t>
  </si>
  <si>
    <t>Smékal</t>
  </si>
  <si>
    <t>Šašinka Petr</t>
  </si>
  <si>
    <t>Choutka Jaroslav</t>
  </si>
  <si>
    <t>Vrána Radek</t>
  </si>
  <si>
    <t>Trmal Jan</t>
  </si>
  <si>
    <t>Václ Jan</t>
  </si>
  <si>
    <t>Herout František</t>
  </si>
  <si>
    <t>Němec Martin</t>
  </si>
  <si>
    <t>Smékal Jan</t>
  </si>
  <si>
    <t>Holinková Eva</t>
  </si>
  <si>
    <t>Tůma Pavel</t>
  </si>
  <si>
    <t>Gregor Tomáš</t>
  </si>
  <si>
    <t>Jiskra Zruč nad Sázavou 'A'</t>
  </si>
  <si>
    <t>Sokol Kutná Hora 'A'</t>
  </si>
  <si>
    <t>Kavalier Sázava 'A'</t>
  </si>
  <si>
    <t>Vörös</t>
  </si>
  <si>
    <t>Arientová E.</t>
  </si>
  <si>
    <t>Líbal T.</t>
  </si>
  <si>
    <t>Vörös Vojtěch</t>
  </si>
  <si>
    <t>Arientová Erika</t>
  </si>
  <si>
    <t>Líbal Tomáš</t>
  </si>
  <si>
    <t>Bárta M.</t>
  </si>
  <si>
    <t>Mottl</t>
  </si>
  <si>
    <t>Zajakov</t>
  </si>
  <si>
    <t>Bárta Martin</t>
  </si>
  <si>
    <t>Mottl Martin</t>
  </si>
  <si>
    <t>Zajakov Petr</t>
  </si>
  <si>
    <t>Sokol Malešov</t>
  </si>
  <si>
    <t>Pipek</t>
  </si>
  <si>
    <t>Sosnovcová</t>
  </si>
  <si>
    <t>Sosnovcová Eva</t>
  </si>
  <si>
    <t>Pipek Dušan</t>
  </si>
  <si>
    <t>Král Ladislav</t>
  </si>
  <si>
    <t>Kamenář Jan</t>
  </si>
  <si>
    <t>Sosnovec Jakub</t>
  </si>
  <si>
    <t>Líbal Václav</t>
  </si>
  <si>
    <t>Arientová Veronika</t>
  </si>
  <si>
    <t>Svobodová Iveta</t>
  </si>
  <si>
    <t>Choutková Magdaléna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</si>
</sst>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??"/>
    <numFmt numFmtId="165" formatCode="\+?"/>
    <numFmt numFmtId="166" formatCode="mm/yy"/>
    <numFmt numFmtId="167" formatCode="mm/\y\y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Continuous"/>
    </xf>
    <xf numFmtId="16" fontId="0" fillId="0" borderId="5" xfId="0" applyNumberFormat="1" applyBorder="1" applyAlignment="1">
      <alignment/>
    </xf>
    <xf numFmtId="16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 horizontal="center"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166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0" fillId="0" borderId="1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30" customWidth="1"/>
    <col min="2" max="2" width="13.375" style="0" customWidth="1"/>
    <col min="3" max="8" width="18.625" style="0" customWidth="1"/>
    <col min="9" max="9" width="9.125" style="18" customWidth="1"/>
    <col min="10" max="11" width="4.125" style="0" customWidth="1"/>
    <col min="12" max="12" width="9.125" style="18" customWidth="1"/>
    <col min="15" max="15" width="5.25390625" style="0" customWidth="1"/>
    <col min="16" max="17" width="9.75390625" style="0" customWidth="1"/>
    <col min="18" max="22" width="3.875" style="0" customWidth="1"/>
    <col min="23" max="23" width="3.375" style="0" customWidth="1"/>
    <col min="24" max="24" width="3.875" style="0" customWidth="1"/>
    <col min="25" max="25" width="3.625" style="0" customWidth="1"/>
    <col min="26" max="26" width="3.875" style="0" customWidth="1"/>
    <col min="27" max="27" width="17.00390625" style="0" customWidth="1"/>
    <col min="28" max="28" width="17.625" style="0" customWidth="1"/>
    <col min="29" max="30" width="2.00390625" style="0" customWidth="1"/>
    <col min="32" max="32" width="9.75390625" style="0" customWidth="1"/>
    <col min="33" max="33" width="3.00390625" style="0" customWidth="1"/>
    <col min="34" max="34" width="3.00390625" style="30" customWidth="1"/>
  </cols>
  <sheetData>
    <row r="1" spans="1:32" ht="12.75">
      <c r="A1" s="76" t="s">
        <v>0</v>
      </c>
      <c r="AF1" s="33" t="s">
        <v>1</v>
      </c>
    </row>
    <row r="2" spans="25:34" ht="13.5" thickBot="1">
      <c r="Y2" s="15" t="s">
        <v>2</v>
      </c>
      <c r="Z2" s="15"/>
      <c r="AF2" t="str">
        <f aca="true" t="shared" si="0" ref="AF2:AF7">B4</f>
        <v>Šašinka</v>
      </c>
      <c r="AG2">
        <f aca="true" t="shared" si="1" ref="AG2:AG7">A4+6</f>
        <v>6</v>
      </c>
      <c r="AH2" s="45">
        <f>AC3+AC8+AD10+AC13+AD17</f>
        <v>0</v>
      </c>
    </row>
    <row r="3" spans="2:34" ht="12.75">
      <c r="B3" s="6" t="s">
        <v>3</v>
      </c>
      <c r="C3" s="7" t="str">
        <f>B4</f>
        <v>Šašinka</v>
      </c>
      <c r="D3" s="7" t="str">
        <f>B5</f>
        <v>Choutka</v>
      </c>
      <c r="E3" s="7" t="str">
        <f>B6</f>
        <v>Trmal</v>
      </c>
      <c r="F3" s="7" t="str">
        <f>B7</f>
        <v>Vrána</v>
      </c>
      <c r="G3" s="7" t="str">
        <f>B8</f>
        <v>Václ</v>
      </c>
      <c r="H3" s="7" t="str">
        <f>B9</f>
        <v>Herout</v>
      </c>
      <c r="I3" s="19" t="s">
        <v>4</v>
      </c>
      <c r="J3" s="20" t="s">
        <v>5</v>
      </c>
      <c r="K3" s="20"/>
      <c r="L3" s="27" t="s">
        <v>6</v>
      </c>
      <c r="O3" s="16" t="s">
        <v>7</v>
      </c>
      <c r="P3" s="7" t="str">
        <f>B4</f>
        <v>Šašinka</v>
      </c>
      <c r="Q3" s="7" t="str">
        <f>B9</f>
        <v>Herout</v>
      </c>
      <c r="R3" s="54">
        <v>-0.1</v>
      </c>
      <c r="S3" s="54">
        <v>-3</v>
      </c>
      <c r="T3" s="54">
        <v>-2</v>
      </c>
      <c r="U3" s="54"/>
      <c r="V3" s="54"/>
      <c r="W3" s="7">
        <f>IF(R3&gt;0,1,0)+IF(S3&gt;0,1,0)+IF(T3&gt;0,1,0)+IF(U3&gt;0,1,0)+IF(V3&gt;0,1,0)</f>
        <v>0</v>
      </c>
      <c r="X3" s="8">
        <f>IF(S3&lt;0,1,0)+IF(T3&lt;0,1,0)+IF(R3&lt;0,1,0)+IF(U3&lt;0,1,0)+IF(V3&lt;0,1,0)</f>
        <v>3</v>
      </c>
      <c r="Y3" s="14">
        <f aca="true" t="shared" si="2" ref="Y3:Y17">IF(AND(IF(W3&gt;X3,2,1)=1,R3="WO"),0,IF(W3&gt;X3,2,1))</f>
        <v>1</v>
      </c>
      <c r="Z3">
        <f aca="true" t="shared" si="3" ref="Z3:Z17">IF(AND(IF(X3&gt;W3,2,1)=1,R3="WO"),0,IF(X3&gt;W3,2,1))</f>
        <v>2</v>
      </c>
      <c r="AA3" t="str">
        <f>CONCATENATE(W3,":",X3," (",R3,IF(S3&lt;&gt;"",CONCATENATE(", ",S3),""),IF(T3&lt;&gt;"",CONCATENATE(", ",T3),""),IF(U3&lt;&gt;"",CONCATENATE(", ",U3),""),IF(V3&lt;&gt;"",CONCATENATE(", ",V3),""),")")</f>
        <v>0:3 (-0,1, -3, -2)</v>
      </c>
      <c r="AB3" t="str">
        <f>CONCATENATE(X3,":",W3," (",IF(R3="WO","WO",-R3),IF(S3&lt;&gt;"",CONCATENATE(", ",-S3),""),IF(T3&lt;&gt;"",CONCATENATE(", ",-T3),""),IF(U3&lt;&gt;"",CONCATENATE(", ",-U3),""),IF(V3&lt;&gt;"",CONCATENATE(", ",-V3),""),")")</f>
        <v>3:0 (0,1, 3, 2)</v>
      </c>
      <c r="AC3">
        <f>IF(Y3&gt;Z3,VLOOKUP(Q3,Seznam!$A$2:$B$21,2,FALSE),0)</f>
        <v>0</v>
      </c>
      <c r="AD3">
        <f>IF(Z3&gt;Y3,VLOOKUP(P3,Seznam!$A$2:$B$21,2,FALSE),0)</f>
        <v>2</v>
      </c>
      <c r="AF3" t="str">
        <f t="shared" si="0"/>
        <v>Choutka</v>
      </c>
      <c r="AG3">
        <f t="shared" si="1"/>
        <v>14</v>
      </c>
      <c r="AH3" s="45">
        <f>AC4+AD8+AC9+AC14+AD16</f>
        <v>13</v>
      </c>
    </row>
    <row r="4" spans="1:34" ht="12.75">
      <c r="A4" s="31">
        <f aca="true" t="shared" si="4" ref="A4:A9">(I4-5)*2</f>
        <v>0</v>
      </c>
      <c r="B4" s="50" t="s">
        <v>157</v>
      </c>
      <c r="C4" s="38" t="s">
        <v>8</v>
      </c>
      <c r="D4" s="36" t="str">
        <f>AA8</f>
        <v>0:3 (-4, -1, -1)</v>
      </c>
      <c r="E4" s="36" t="str">
        <f>AB10</f>
        <v>0:3 (-5, -3, -4)</v>
      </c>
      <c r="F4" s="36" t="str">
        <f>AA13</f>
        <v>1:3 (7, -8, -9, -5)</v>
      </c>
      <c r="G4" s="36" t="str">
        <f>AB17</f>
        <v>0:3 (-3, -6, -4)</v>
      </c>
      <c r="H4" s="36" t="str">
        <f>AA3</f>
        <v>0:3 (-0,1, -3, -2)</v>
      </c>
      <c r="I4" s="21">
        <f>Y3+Y8+Z10+Y13+Z17</f>
        <v>5</v>
      </c>
      <c r="J4" s="22">
        <f>W3+W8+X10+W13+X17</f>
        <v>1</v>
      </c>
      <c r="K4" s="23">
        <f>X3+X8+W10+X13+W17</f>
        <v>15</v>
      </c>
      <c r="L4" s="28" t="str">
        <f aca="true" t="shared" si="5" ref="L4:L9">IF(B4=$B$11,"1.",IF(B4=$B$12,"2.",IF(B4=$B$13,"3.",IF(B4=$B$14,"4.",IF(B4=$B$15,"5.",IF(B4=$B$16,"6.",""))))))</f>
        <v>6.</v>
      </c>
      <c r="O4" s="9" t="s">
        <v>9</v>
      </c>
      <c r="P4" s="4" t="str">
        <f>B5</f>
        <v>Choutka</v>
      </c>
      <c r="Q4" s="4" t="str">
        <f>B8</f>
        <v>Václ</v>
      </c>
      <c r="R4" s="55">
        <v>6</v>
      </c>
      <c r="S4" s="55">
        <v>-8</v>
      </c>
      <c r="T4" s="55">
        <v>5</v>
      </c>
      <c r="U4" s="55">
        <v>-8</v>
      </c>
      <c r="V4" s="55">
        <v>8</v>
      </c>
      <c r="W4" s="4">
        <f>IF(R4&gt;0,1,0)+IF(S4&gt;0,1,0)+IF(T4&gt;0,1,0)+IF(U4&gt;0,1,0)+IF(V4&gt;0,1,0)</f>
        <v>3</v>
      </c>
      <c r="X4" s="10">
        <f>IF(S4&lt;0,1,0)+IF(T4&lt;0,1,0)+IF(R4&lt;0,1,0)+IF(U4&lt;0,1,0)+IF(V4&lt;0,1,0)</f>
        <v>2</v>
      </c>
      <c r="Y4" s="14">
        <f t="shared" si="2"/>
        <v>2</v>
      </c>
      <c r="Z4">
        <f t="shared" si="3"/>
        <v>1</v>
      </c>
      <c r="AA4" t="str">
        <f aca="true" t="shared" si="6" ref="AA4:AA17">CONCATENATE(W4,":",X4," (",R4,IF(S4&lt;&gt;"",CONCATENATE(", ",S4),""),IF(T4&lt;&gt;"",CONCATENATE(", ",T4),""),IF(U4&lt;&gt;"",CONCATENATE(", ",U4),""),IF(V4&lt;&gt;"",CONCATENATE(", ",V4),""),")")</f>
        <v>3:2 (6, -8, 5, -8, 8)</v>
      </c>
      <c r="AB4" t="str">
        <f aca="true" t="shared" si="7" ref="AB4:AB17">CONCATENATE(X4,":",W4," (",IF(R4="WO","WO",-R4),IF(S4&lt;&gt;"",CONCATENATE(", ",-S4),""),IF(T4&lt;&gt;"",CONCATENATE(", ",-T4),""),IF(U4&lt;&gt;"",CONCATENATE(", ",-U4),""),IF(V4&lt;&gt;"",CONCATENATE(", ",-V4),""),")")</f>
        <v>2:3 (-6, 8, -5, 8, -8)</v>
      </c>
      <c r="AC4">
        <f>IF(Y4&gt;Z4,VLOOKUP(Q4,Seznam!$A$2:$B$21,2,FALSE),0)</f>
        <v>4</v>
      </c>
      <c r="AD4">
        <f>IF(Z4&gt;Y4,VLOOKUP(P4,Seznam!$A$2:$B$21,2,FALSE),0)</f>
        <v>0</v>
      </c>
      <c r="AF4" t="str">
        <f t="shared" si="0"/>
        <v>Trmal</v>
      </c>
      <c r="AG4">
        <f t="shared" si="1"/>
        <v>16</v>
      </c>
      <c r="AH4" s="45">
        <f>AC5+AD7+AC10+AD14+AC15</f>
        <v>17</v>
      </c>
    </row>
    <row r="5" spans="1:34" ht="12.75">
      <c r="A5" s="31">
        <f t="shared" si="4"/>
        <v>8</v>
      </c>
      <c r="B5" s="50" t="s">
        <v>158</v>
      </c>
      <c r="C5" s="36" t="str">
        <f>AB8</f>
        <v>3:0 (4, 1, 1)</v>
      </c>
      <c r="D5" s="38" t="s">
        <v>8</v>
      </c>
      <c r="E5" s="36" t="str">
        <f>AA14</f>
        <v>0:3 (-3, -7, -12)</v>
      </c>
      <c r="F5" s="36" t="str">
        <f>AB16</f>
        <v>3:0 (5, 5, 8)</v>
      </c>
      <c r="G5" s="36" t="str">
        <f>AA4</f>
        <v>3:2 (6, -8, 5, -8, 8)</v>
      </c>
      <c r="H5" s="36" t="str">
        <f>AA9</f>
        <v>3:2 (4, -8, -6, 8, 4)</v>
      </c>
      <c r="I5" s="21">
        <f>Y4+Z8+Y9+Y14+Z16</f>
        <v>9</v>
      </c>
      <c r="J5" s="22">
        <f>W4+X8+W9+W14+X16</f>
        <v>12</v>
      </c>
      <c r="K5" s="23">
        <f>X4+W8+X9+X14+W16</f>
        <v>7</v>
      </c>
      <c r="L5" s="28" t="str">
        <f t="shared" si="5"/>
        <v>2.</v>
      </c>
      <c r="O5" s="9" t="s">
        <v>10</v>
      </c>
      <c r="P5" s="4" t="str">
        <f>B6</f>
        <v>Trmal</v>
      </c>
      <c r="Q5" s="4" t="str">
        <f>B7</f>
        <v>Vrána</v>
      </c>
      <c r="R5" s="55">
        <v>0.1</v>
      </c>
      <c r="S5" s="55">
        <v>1</v>
      </c>
      <c r="T5" s="55">
        <v>4</v>
      </c>
      <c r="U5" s="55"/>
      <c r="V5" s="55"/>
      <c r="W5" s="4">
        <f aca="true" t="shared" si="8" ref="W5:W16">IF(R5&gt;0,1,0)+IF(S5&gt;0,1,0)+IF(T5&gt;0,1,0)+IF(U5&gt;0,1,0)+IF(V5&gt;0,1,0)</f>
        <v>3</v>
      </c>
      <c r="X5" s="10">
        <f aca="true" t="shared" si="9" ref="X5:X16">IF(S5&lt;0,1,0)+IF(T5&lt;0,1,0)+IF(R5&lt;0,1,0)+IF(U5&lt;0,1,0)+IF(V5&lt;0,1,0)</f>
        <v>0</v>
      </c>
      <c r="Y5" s="14">
        <f t="shared" si="2"/>
        <v>2</v>
      </c>
      <c r="Z5">
        <f t="shared" si="3"/>
        <v>1</v>
      </c>
      <c r="AA5" t="str">
        <f t="shared" si="6"/>
        <v>3:0 (0,1, 1, 4)</v>
      </c>
      <c r="AB5" t="str">
        <f t="shared" si="7"/>
        <v>0:3 (-0,1, -1, -4)</v>
      </c>
      <c r="AC5">
        <f>IF(Y5&gt;Z5,VLOOKUP(Q5,Seznam!$A$2:$B$21,2,FALSE),0)</f>
        <v>2</v>
      </c>
      <c r="AD5">
        <f>IF(Z5&gt;Y5,VLOOKUP(P5,Seznam!$A$2:$B$21,2,FALSE),0)</f>
        <v>0</v>
      </c>
      <c r="AF5" t="str">
        <f t="shared" si="0"/>
        <v>Vrána</v>
      </c>
      <c r="AG5">
        <f t="shared" si="1"/>
        <v>8</v>
      </c>
      <c r="AH5" s="45">
        <f>AD5+AD6+AC11+AD13+AC16</f>
        <v>2</v>
      </c>
    </row>
    <row r="6" spans="1:34" ht="12.75">
      <c r="A6" s="31">
        <f t="shared" si="4"/>
        <v>10</v>
      </c>
      <c r="B6" s="50" t="s">
        <v>155</v>
      </c>
      <c r="C6" s="36" t="str">
        <f>AA10</f>
        <v>3:0 (5, 3, 4)</v>
      </c>
      <c r="D6" s="36" t="str">
        <f>AB14</f>
        <v>3:0 (3, 7, 12)</v>
      </c>
      <c r="E6" s="38" t="s">
        <v>8</v>
      </c>
      <c r="F6" s="36" t="str">
        <f>AA5</f>
        <v>3:0 (0,1, 1, 4)</v>
      </c>
      <c r="G6" s="36" t="str">
        <f>AB7</f>
        <v>3:1 (-8, 5, 3, 8)</v>
      </c>
      <c r="H6" s="36" t="str">
        <f>AA15</f>
        <v>3:1 (8, 8, -8, 8)</v>
      </c>
      <c r="I6" s="21">
        <f>Y5+Z7+Y10+Z14+Y15</f>
        <v>10</v>
      </c>
      <c r="J6" s="22">
        <f>W5+X7+W10+X14+W15</f>
        <v>15</v>
      </c>
      <c r="K6" s="23">
        <f>X5+W7+X10+W14+X15</f>
        <v>2</v>
      </c>
      <c r="L6" s="28" t="str">
        <f t="shared" si="5"/>
        <v>1.</v>
      </c>
      <c r="O6" s="17" t="s">
        <v>11</v>
      </c>
      <c r="P6" s="4" t="str">
        <f>B9</f>
        <v>Herout</v>
      </c>
      <c r="Q6" s="4" t="str">
        <f>B7</f>
        <v>Vrána</v>
      </c>
      <c r="R6" s="55">
        <v>1</v>
      </c>
      <c r="S6" s="55">
        <v>5</v>
      </c>
      <c r="T6" s="55">
        <v>5</v>
      </c>
      <c r="U6" s="55"/>
      <c r="V6" s="55"/>
      <c r="W6" s="4">
        <f t="shared" si="8"/>
        <v>3</v>
      </c>
      <c r="X6" s="10">
        <f t="shared" si="9"/>
        <v>0</v>
      </c>
      <c r="Y6" s="14">
        <f t="shared" si="2"/>
        <v>2</v>
      </c>
      <c r="Z6">
        <f t="shared" si="3"/>
        <v>1</v>
      </c>
      <c r="AA6" t="str">
        <f t="shared" si="6"/>
        <v>3:0 (1, 5, 5)</v>
      </c>
      <c r="AB6" t="str">
        <f t="shared" si="7"/>
        <v>0:3 (-1, -5, -5)</v>
      </c>
      <c r="AC6">
        <f>IF(Y6&gt;Z6,VLOOKUP(Q6,Seznam!$A$2:$B$21,2,FALSE),0)</f>
        <v>2</v>
      </c>
      <c r="AD6">
        <f>IF(Z6&gt;Y6,VLOOKUP(P6,Seznam!$A$2:$B$21,2,FALSE),0)</f>
        <v>0</v>
      </c>
      <c r="AF6" t="str">
        <f t="shared" si="0"/>
        <v>Václ</v>
      </c>
      <c r="AG6">
        <f t="shared" si="1"/>
        <v>10</v>
      </c>
      <c r="AH6" s="45">
        <f>AD4+AC7+AD11+AD12+AC17</f>
        <v>4</v>
      </c>
    </row>
    <row r="7" spans="1:34" ht="12.75">
      <c r="A7" s="31">
        <f t="shared" si="4"/>
        <v>2</v>
      </c>
      <c r="B7" s="50" t="s">
        <v>154</v>
      </c>
      <c r="C7" s="36" t="str">
        <f>AB13</f>
        <v>3:1 (-7, 8, 9, 5)</v>
      </c>
      <c r="D7" s="36" t="str">
        <f>AA16</f>
        <v>0:3 (-5, -5, -8)</v>
      </c>
      <c r="E7" s="36" t="str">
        <f>AB5</f>
        <v>0:3 (-0,1, -1, -4)</v>
      </c>
      <c r="F7" s="38" t="s">
        <v>8</v>
      </c>
      <c r="G7" s="36" t="str">
        <f>AA11</f>
        <v>0:3 (-5, -3, -4)</v>
      </c>
      <c r="H7" s="36" t="str">
        <f>AB6</f>
        <v>0:3 (-1, -5, -5)</v>
      </c>
      <c r="I7" s="21">
        <f>Z5+Z6+Y11+Z13+Y16</f>
        <v>6</v>
      </c>
      <c r="J7" s="22">
        <f>X5+X6+W11+X13+W16</f>
        <v>3</v>
      </c>
      <c r="K7" s="23">
        <f>W5+W6+X11+W13+X16</f>
        <v>13</v>
      </c>
      <c r="L7" s="28" t="str">
        <f t="shared" si="5"/>
        <v>5.</v>
      </c>
      <c r="O7" s="9" t="s">
        <v>12</v>
      </c>
      <c r="P7" s="4" t="str">
        <f>B8</f>
        <v>Václ</v>
      </c>
      <c r="Q7" s="4" t="str">
        <f>B6</f>
        <v>Trmal</v>
      </c>
      <c r="R7" s="55">
        <v>8</v>
      </c>
      <c r="S7" s="55">
        <v>-5</v>
      </c>
      <c r="T7" s="55">
        <v>-3</v>
      </c>
      <c r="U7" s="55">
        <v>-8</v>
      </c>
      <c r="V7" s="55"/>
      <c r="W7" s="4">
        <f t="shared" si="8"/>
        <v>1</v>
      </c>
      <c r="X7" s="10">
        <f t="shared" si="9"/>
        <v>3</v>
      </c>
      <c r="Y7" s="14">
        <f t="shared" si="2"/>
        <v>1</v>
      </c>
      <c r="Z7">
        <f t="shared" si="3"/>
        <v>2</v>
      </c>
      <c r="AA7" t="str">
        <f t="shared" si="6"/>
        <v>1:3 (8, -5, -3, -8)</v>
      </c>
      <c r="AB7" t="str">
        <f t="shared" si="7"/>
        <v>3:1 (-8, 5, 3, 8)</v>
      </c>
      <c r="AC7">
        <f>IF(Y7&gt;Z7,VLOOKUP(Q7,Seznam!$A$2:$B$21,2,FALSE),0)</f>
        <v>0</v>
      </c>
      <c r="AD7">
        <f>IF(Z7&gt;Y7,VLOOKUP(P7,Seznam!$A$2:$B$21,2,FALSE),0)</f>
        <v>4</v>
      </c>
      <c r="AF7" t="str">
        <f t="shared" si="0"/>
        <v>Herout</v>
      </c>
      <c r="AG7">
        <f t="shared" si="1"/>
        <v>12</v>
      </c>
      <c r="AH7" s="45">
        <f>AD3+AC6+AD9+AC12+AD15</f>
        <v>8</v>
      </c>
    </row>
    <row r="8" spans="1:34" ht="12.75">
      <c r="A8" s="31">
        <f t="shared" si="4"/>
        <v>4</v>
      </c>
      <c r="B8" s="50" t="s">
        <v>159</v>
      </c>
      <c r="C8" s="36" t="str">
        <f>AA17</f>
        <v>3:0 (3, 6, 4)</v>
      </c>
      <c r="D8" s="36" t="str">
        <f>AB4</f>
        <v>2:3 (-6, 8, -5, 8, -8)</v>
      </c>
      <c r="E8" s="36" t="str">
        <f>AA7</f>
        <v>1:3 (8, -5, -3, -8)</v>
      </c>
      <c r="F8" s="36" t="str">
        <f>AB11</f>
        <v>3:0 (5, 3, 4)</v>
      </c>
      <c r="G8" s="38" t="s">
        <v>8</v>
      </c>
      <c r="H8" s="36" t="str">
        <f>AB12</f>
        <v>0:3 (-3, -1, -3)</v>
      </c>
      <c r="I8" s="21">
        <f>Z4+Y7+Z11+Z12+Y17</f>
        <v>7</v>
      </c>
      <c r="J8" s="22">
        <f>X4+W7+X11+X12+W17</f>
        <v>9</v>
      </c>
      <c r="K8" s="23">
        <f>W4+X7+W11+W12+X17</f>
        <v>9</v>
      </c>
      <c r="L8" s="28" t="str">
        <f t="shared" si="5"/>
        <v>4.</v>
      </c>
      <c r="O8" s="9" t="s">
        <v>13</v>
      </c>
      <c r="P8" s="4" t="str">
        <f>B4</f>
        <v>Šašinka</v>
      </c>
      <c r="Q8" s="4" t="str">
        <f>B5</f>
        <v>Choutka</v>
      </c>
      <c r="R8" s="55">
        <v>-4</v>
      </c>
      <c r="S8" s="55">
        <v>-1</v>
      </c>
      <c r="T8" s="55">
        <v>-1</v>
      </c>
      <c r="U8" s="55"/>
      <c r="V8" s="55"/>
      <c r="W8" s="4">
        <f t="shared" si="8"/>
        <v>0</v>
      </c>
      <c r="X8" s="10">
        <f t="shared" si="9"/>
        <v>3</v>
      </c>
      <c r="Y8" s="14">
        <f t="shared" si="2"/>
        <v>1</v>
      </c>
      <c r="Z8">
        <f t="shared" si="3"/>
        <v>2</v>
      </c>
      <c r="AA8" t="str">
        <f t="shared" si="6"/>
        <v>0:3 (-4, -1, -1)</v>
      </c>
      <c r="AB8" t="str">
        <f t="shared" si="7"/>
        <v>3:0 (4, 1, 1)</v>
      </c>
      <c r="AC8">
        <f>IF(Y8&gt;Z8,VLOOKUP(Q8,Seznam!$A$2:$B$21,2,FALSE),0)</f>
        <v>0</v>
      </c>
      <c r="AD8">
        <f>IF(Z8&gt;Y8,VLOOKUP(P8,Seznam!$A$2:$B$21,2,FALSE),0)</f>
        <v>2</v>
      </c>
      <c r="AF8" t="str">
        <f aca="true" t="shared" si="10" ref="AF8:AF13">B22</f>
        <v>Němec</v>
      </c>
      <c r="AG8">
        <f aca="true" t="shared" si="11" ref="AG8:AG13">A22+6</f>
        <v>10</v>
      </c>
      <c r="AH8" s="45">
        <f>AC21+AC26+AD28+AC31+AD35</f>
        <v>6</v>
      </c>
    </row>
    <row r="9" spans="1:34" ht="13.5" thickBot="1">
      <c r="A9" s="31">
        <f t="shared" si="4"/>
        <v>6</v>
      </c>
      <c r="B9" s="51" t="s">
        <v>156</v>
      </c>
      <c r="C9" s="37" t="str">
        <f>AB3</f>
        <v>3:0 (0,1, 3, 2)</v>
      </c>
      <c r="D9" s="37" t="str">
        <f>AB9</f>
        <v>2:3 (-4, 8, 6, -8, -4)</v>
      </c>
      <c r="E9" s="37" t="str">
        <f>AB15</f>
        <v>1:3 (-8, -8, 8, -8)</v>
      </c>
      <c r="F9" s="37" t="str">
        <f>AA6</f>
        <v>3:0 (1, 5, 5)</v>
      </c>
      <c r="G9" s="37" t="str">
        <f>AA12</f>
        <v>3:0 (3, 1, 3)</v>
      </c>
      <c r="H9" s="39" t="s">
        <v>8</v>
      </c>
      <c r="I9" s="24">
        <f>Z3+Y6+Z9+Y12+Z15</f>
        <v>8</v>
      </c>
      <c r="J9" s="25">
        <f>X3+W6+X9+W12+X15</f>
        <v>12</v>
      </c>
      <c r="K9" s="26">
        <f>W3+X6+W9+X12+W15</f>
        <v>6</v>
      </c>
      <c r="L9" s="29" t="str">
        <f t="shared" si="5"/>
        <v>3.</v>
      </c>
      <c r="O9" s="9" t="s">
        <v>14</v>
      </c>
      <c r="P9" s="4" t="str">
        <f>B5</f>
        <v>Choutka</v>
      </c>
      <c r="Q9" s="4" t="str">
        <f>B9</f>
        <v>Herout</v>
      </c>
      <c r="R9" s="55">
        <v>4</v>
      </c>
      <c r="S9" s="55">
        <v>-8</v>
      </c>
      <c r="T9" s="55">
        <v>-6</v>
      </c>
      <c r="U9" s="55">
        <v>8</v>
      </c>
      <c r="V9" s="55">
        <v>4</v>
      </c>
      <c r="W9" s="4">
        <f t="shared" si="8"/>
        <v>3</v>
      </c>
      <c r="X9" s="10">
        <f t="shared" si="9"/>
        <v>2</v>
      </c>
      <c r="Y9" s="14">
        <f t="shared" si="2"/>
        <v>2</v>
      </c>
      <c r="Z9">
        <f t="shared" si="3"/>
        <v>1</v>
      </c>
      <c r="AA9" t="str">
        <f t="shared" si="6"/>
        <v>3:2 (4, -8, -6, 8, 4)</v>
      </c>
      <c r="AB9" t="str">
        <f t="shared" si="7"/>
        <v>2:3 (-4, 8, 6, -8, -4)</v>
      </c>
      <c r="AC9">
        <f>IF(Y9&gt;Z9,VLOOKUP(Q9,Seznam!$A$2:$B$21,2,FALSE),0)</f>
        <v>5</v>
      </c>
      <c r="AD9">
        <f>IF(Z9&gt;Y9,VLOOKUP(P9,Seznam!$A$2:$B$21,2,FALSE),0)</f>
        <v>0</v>
      </c>
      <c r="AF9" t="str">
        <f t="shared" si="10"/>
        <v>Smékal</v>
      </c>
      <c r="AG9">
        <f t="shared" si="11"/>
        <v>6</v>
      </c>
      <c r="AH9" s="45">
        <f>AC22+AD26+AC27+AC32+AD34</f>
        <v>0</v>
      </c>
    </row>
    <row r="10" spans="15:34" ht="12.75">
      <c r="O10" s="9" t="s">
        <v>15</v>
      </c>
      <c r="P10" s="4" t="str">
        <f>B6</f>
        <v>Trmal</v>
      </c>
      <c r="Q10" s="4" t="str">
        <f>B4</f>
        <v>Šašinka</v>
      </c>
      <c r="R10" s="55">
        <v>5</v>
      </c>
      <c r="S10" s="55">
        <v>3</v>
      </c>
      <c r="T10" s="55">
        <v>4</v>
      </c>
      <c r="U10" s="55"/>
      <c r="V10" s="55"/>
      <c r="W10" s="4">
        <f t="shared" si="8"/>
        <v>3</v>
      </c>
      <c r="X10" s="10">
        <f t="shared" si="9"/>
        <v>0</v>
      </c>
      <c r="Y10" s="14">
        <f t="shared" si="2"/>
        <v>2</v>
      </c>
      <c r="Z10">
        <f t="shared" si="3"/>
        <v>1</v>
      </c>
      <c r="AA10" t="str">
        <f t="shared" si="6"/>
        <v>3:0 (5, 3, 4)</v>
      </c>
      <c r="AB10" t="str">
        <f t="shared" si="7"/>
        <v>0:3 (-5, -3, -4)</v>
      </c>
      <c r="AC10">
        <f>IF(Y10&gt;Z10,VLOOKUP(Q10,Seznam!$A$2:$B$21,2,FALSE),0)</f>
        <v>2</v>
      </c>
      <c r="AD10">
        <f>IF(Z10&gt;Y10,VLOOKUP(P10,Seznam!$A$2:$B$21,2,FALSE),0)</f>
        <v>0</v>
      </c>
      <c r="AF10" t="str">
        <f t="shared" si="10"/>
        <v>Choutková</v>
      </c>
      <c r="AG10">
        <f t="shared" si="11"/>
        <v>16</v>
      </c>
      <c r="AH10" s="45">
        <f>AC23+AD25+AC28+AD32+AC33</f>
        <v>18</v>
      </c>
    </row>
    <row r="11" spans="1:34" ht="12.75">
      <c r="A11" s="30" t="s">
        <v>16</v>
      </c>
      <c r="B11" t="str">
        <f>'Pořadí ve skupinách'!O3</f>
        <v>Trmal</v>
      </c>
      <c r="O11" s="9" t="s">
        <v>17</v>
      </c>
      <c r="P11" s="4" t="str">
        <f>B7</f>
        <v>Vrána</v>
      </c>
      <c r="Q11" s="4" t="str">
        <f>B8</f>
        <v>Václ</v>
      </c>
      <c r="R11" s="55">
        <v>-5</v>
      </c>
      <c r="S11" s="55">
        <v>-3</v>
      </c>
      <c r="T11" s="55">
        <v>-4</v>
      </c>
      <c r="U11" s="55"/>
      <c r="V11" s="55"/>
      <c r="W11" s="4">
        <f t="shared" si="8"/>
        <v>0</v>
      </c>
      <c r="X11" s="10">
        <f t="shared" si="9"/>
        <v>3</v>
      </c>
      <c r="Y11" s="14">
        <f t="shared" si="2"/>
        <v>1</v>
      </c>
      <c r="Z11">
        <f t="shared" si="3"/>
        <v>2</v>
      </c>
      <c r="AA11" t="str">
        <f t="shared" si="6"/>
        <v>0:3 (-5, -3, -4)</v>
      </c>
      <c r="AB11" t="str">
        <f t="shared" si="7"/>
        <v>3:0 (5, 3, 4)</v>
      </c>
      <c r="AC11">
        <f>IF(Y11&gt;Z11,VLOOKUP(Q11,Seznam!$A$2:$B$21,2,FALSE),0)</f>
        <v>0</v>
      </c>
      <c r="AD11">
        <f>IF(Z11&gt;Y11,VLOOKUP(P11,Seznam!$A$2:$B$21,2,FALSE),0)</f>
        <v>2</v>
      </c>
      <c r="AF11" t="str">
        <f t="shared" si="10"/>
        <v>Holinková</v>
      </c>
      <c r="AG11">
        <f t="shared" si="11"/>
        <v>8</v>
      </c>
      <c r="AH11" s="45">
        <f>AD23+AD24+AC29+AD31+AC34</f>
        <v>3</v>
      </c>
    </row>
    <row r="12" spans="1:34" ht="12.75">
      <c r="A12" s="30" t="s">
        <v>18</v>
      </c>
      <c r="B12" t="str">
        <f>'Pořadí ve skupinách'!O4</f>
        <v>Choutka</v>
      </c>
      <c r="O12" s="9" t="s">
        <v>19</v>
      </c>
      <c r="P12" s="4" t="str">
        <f>B9</f>
        <v>Herout</v>
      </c>
      <c r="Q12" s="4" t="str">
        <f>B8</f>
        <v>Václ</v>
      </c>
      <c r="R12" s="55">
        <v>3</v>
      </c>
      <c r="S12" s="55">
        <v>1</v>
      </c>
      <c r="T12" s="55">
        <v>3</v>
      </c>
      <c r="U12" s="55"/>
      <c r="V12" s="55"/>
      <c r="W12" s="4">
        <f t="shared" si="8"/>
        <v>3</v>
      </c>
      <c r="X12" s="10">
        <f t="shared" si="9"/>
        <v>0</v>
      </c>
      <c r="Y12" s="14">
        <f t="shared" si="2"/>
        <v>2</v>
      </c>
      <c r="Z12">
        <f t="shared" si="3"/>
        <v>1</v>
      </c>
      <c r="AA12" t="str">
        <f t="shared" si="6"/>
        <v>3:0 (3, 1, 3)</v>
      </c>
      <c r="AB12" t="str">
        <f t="shared" si="7"/>
        <v>0:3 (-3, -1, -3)</v>
      </c>
      <c r="AC12">
        <f>IF(Y12&gt;Z12,VLOOKUP(Q12,Seznam!$A$2:$B$21,2,FALSE),0)</f>
        <v>4</v>
      </c>
      <c r="AD12">
        <f>IF(Z12&gt;Y12,VLOOKUP(P12,Seznam!$A$2:$B$21,2,FALSE),0)</f>
        <v>0</v>
      </c>
      <c r="AF12" t="str">
        <f t="shared" si="10"/>
        <v>Tůma</v>
      </c>
      <c r="AG12">
        <f t="shared" si="11"/>
        <v>12</v>
      </c>
      <c r="AH12" s="45">
        <f>AD22+AC25+AD29+AD30+AC35</f>
        <v>9</v>
      </c>
    </row>
    <row r="13" spans="1:34" ht="12.75">
      <c r="A13" s="30" t="s">
        <v>20</v>
      </c>
      <c r="B13" t="str">
        <f>'Pořadí ve skupinách'!O5</f>
        <v>Herout</v>
      </c>
      <c r="O13" s="9" t="s">
        <v>21</v>
      </c>
      <c r="P13" s="4" t="str">
        <f>B4</f>
        <v>Šašinka</v>
      </c>
      <c r="Q13" s="4" t="str">
        <f>B7</f>
        <v>Vrána</v>
      </c>
      <c r="R13" s="55">
        <v>7</v>
      </c>
      <c r="S13" s="55">
        <v>-8</v>
      </c>
      <c r="T13" s="55">
        <v>-9</v>
      </c>
      <c r="U13" s="55">
        <v>-5</v>
      </c>
      <c r="V13" s="55"/>
      <c r="W13" s="4">
        <f t="shared" si="8"/>
        <v>1</v>
      </c>
      <c r="X13" s="10">
        <f t="shared" si="9"/>
        <v>3</v>
      </c>
      <c r="Y13" s="14">
        <f t="shared" si="2"/>
        <v>1</v>
      </c>
      <c r="Z13">
        <f t="shared" si="3"/>
        <v>2</v>
      </c>
      <c r="AA13" t="str">
        <f t="shared" si="6"/>
        <v>1:3 (7, -8, -9, -5)</v>
      </c>
      <c r="AB13" t="str">
        <f t="shared" si="7"/>
        <v>3:1 (-7, 8, 9, 5)</v>
      </c>
      <c r="AC13">
        <f>IF(Y13&gt;Z13,VLOOKUP(Q13,Seznam!$A$2:$B$21,2,FALSE),0)</f>
        <v>0</v>
      </c>
      <c r="AD13">
        <f>IF(Z13&gt;Y13,VLOOKUP(P13,Seznam!$A$2:$B$21,2,FALSE),0)</f>
        <v>2</v>
      </c>
      <c r="AF13" t="str">
        <f t="shared" si="10"/>
        <v>Gregor</v>
      </c>
      <c r="AG13">
        <f t="shared" si="11"/>
        <v>14</v>
      </c>
      <c r="AH13" s="45">
        <f>AD21+AC24+AD27+AC30+AD33</f>
        <v>13</v>
      </c>
    </row>
    <row r="14" spans="1:34" ht="12.75">
      <c r="A14" s="30" t="s">
        <v>22</v>
      </c>
      <c r="B14" t="str">
        <f>'Pořadí ve skupinách'!O6</f>
        <v>Václ</v>
      </c>
      <c r="O14" s="9" t="s">
        <v>23</v>
      </c>
      <c r="P14" s="4" t="str">
        <f>B5</f>
        <v>Choutka</v>
      </c>
      <c r="Q14" s="4" t="str">
        <f>B6</f>
        <v>Trmal</v>
      </c>
      <c r="R14" s="55">
        <v>-3</v>
      </c>
      <c r="S14" s="55">
        <v>-7</v>
      </c>
      <c r="T14" s="55">
        <v>-12</v>
      </c>
      <c r="U14" s="55"/>
      <c r="V14" s="55"/>
      <c r="W14" s="4">
        <f t="shared" si="8"/>
        <v>0</v>
      </c>
      <c r="X14" s="10">
        <f t="shared" si="9"/>
        <v>3</v>
      </c>
      <c r="Y14" s="14">
        <f t="shared" si="2"/>
        <v>1</v>
      </c>
      <c r="Z14">
        <f t="shared" si="3"/>
        <v>2</v>
      </c>
      <c r="AA14" t="str">
        <f t="shared" si="6"/>
        <v>0:3 (-3, -7, -12)</v>
      </c>
      <c r="AB14" t="str">
        <f t="shared" si="7"/>
        <v>3:0 (3, 7, 12)</v>
      </c>
      <c r="AC14">
        <f>IF(Y14&gt;Z14,VLOOKUP(Q14,Seznam!$A$2:$B$21,2,FALSE),0)</f>
        <v>0</v>
      </c>
      <c r="AD14">
        <f>IF(Z14&gt;Y14,VLOOKUP(P14,Seznam!$A$2:$B$21,2,FALSE),0)</f>
        <v>4</v>
      </c>
      <c r="AF14" t="str">
        <f>'Finálová část'!B3</f>
        <v>Mottl</v>
      </c>
      <c r="AG14">
        <f>'Finálová část'!C3</f>
        <v>8</v>
      </c>
      <c r="AH14">
        <f>'Finálová část'!D3</f>
        <v>2</v>
      </c>
    </row>
    <row r="15" spans="1:34" ht="12.75">
      <c r="A15" s="30" t="s">
        <v>24</v>
      </c>
      <c r="B15" t="str">
        <f>'Pořadí ve skupinách'!O7</f>
        <v>Vrána</v>
      </c>
      <c r="O15" s="9" t="s">
        <v>25</v>
      </c>
      <c r="P15" s="4" t="str">
        <f>B6</f>
        <v>Trmal</v>
      </c>
      <c r="Q15" s="4" t="str">
        <f>B9</f>
        <v>Herout</v>
      </c>
      <c r="R15" s="55">
        <v>8</v>
      </c>
      <c r="S15" s="55">
        <v>8</v>
      </c>
      <c r="T15" s="55">
        <v>-8</v>
      </c>
      <c r="U15" s="55">
        <v>8</v>
      </c>
      <c r="V15" s="55"/>
      <c r="W15" s="4">
        <f t="shared" si="8"/>
        <v>3</v>
      </c>
      <c r="X15" s="10">
        <f t="shared" si="9"/>
        <v>1</v>
      </c>
      <c r="Y15" s="14">
        <f t="shared" si="2"/>
        <v>2</v>
      </c>
      <c r="Z15">
        <f t="shared" si="3"/>
        <v>1</v>
      </c>
      <c r="AA15" t="str">
        <f t="shared" si="6"/>
        <v>3:1 (8, 8, -8, 8)</v>
      </c>
      <c r="AB15" t="str">
        <f t="shared" si="7"/>
        <v>1:3 (-8, -8, 8, -8)</v>
      </c>
      <c r="AC15">
        <f>IF(Y15&gt;Z15,VLOOKUP(Q15,Seznam!$A$2:$B$21,2,FALSE),0)</f>
        <v>5</v>
      </c>
      <c r="AD15">
        <f>IF(Z15&gt;Y15,VLOOKUP(P15,Seznam!$A$2:$B$21,2,FALSE),0)</f>
        <v>0</v>
      </c>
      <c r="AF15" t="str">
        <f>'Finálová část'!B4</f>
        <v>Zajakov</v>
      </c>
      <c r="AG15">
        <f>'Finálová část'!C4</f>
        <v>10</v>
      </c>
      <c r="AH15">
        <f>'Finálová část'!D4</f>
        <v>1</v>
      </c>
    </row>
    <row r="16" spans="1:34" ht="12.75">
      <c r="A16" s="30" t="s">
        <v>26</v>
      </c>
      <c r="B16" t="str">
        <f>'Pořadí ve skupinách'!O8</f>
        <v>Šašinka</v>
      </c>
      <c r="O16" s="9" t="s">
        <v>27</v>
      </c>
      <c r="P16" s="4" t="str">
        <f>B7</f>
        <v>Vrána</v>
      </c>
      <c r="Q16" s="4" t="str">
        <f>B5</f>
        <v>Choutka</v>
      </c>
      <c r="R16" s="55">
        <v>-5</v>
      </c>
      <c r="S16" s="55">
        <v>-5</v>
      </c>
      <c r="T16" s="55">
        <v>-8</v>
      </c>
      <c r="U16" s="55"/>
      <c r="V16" s="55"/>
      <c r="W16" s="4">
        <f t="shared" si="8"/>
        <v>0</v>
      </c>
      <c r="X16" s="10">
        <f t="shared" si="9"/>
        <v>3</v>
      </c>
      <c r="Y16" s="14">
        <f t="shared" si="2"/>
        <v>1</v>
      </c>
      <c r="Z16">
        <f t="shared" si="3"/>
        <v>2</v>
      </c>
      <c r="AA16" t="str">
        <f t="shared" si="6"/>
        <v>0:3 (-5, -5, -8)</v>
      </c>
      <c r="AB16" t="str">
        <f t="shared" si="7"/>
        <v>3:0 (5, 5, 8)</v>
      </c>
      <c r="AC16">
        <f>IF(Y16&gt;Z16,VLOOKUP(Q16,Seznam!$A$2:$B$21,2,FALSE),0)</f>
        <v>0</v>
      </c>
      <c r="AD16">
        <f>IF(Z16&gt;Y16,VLOOKUP(P16,Seznam!$A$2:$B$21,2,FALSE),0)</f>
        <v>2</v>
      </c>
      <c r="AF16" t="str">
        <f>'Finálová část'!B5</f>
        <v>Sosnovcová</v>
      </c>
      <c r="AG16">
        <f>'Finálová část'!C5</f>
        <v>8</v>
      </c>
      <c r="AH16">
        <f>'Finálová část'!D5</f>
        <v>0</v>
      </c>
    </row>
    <row r="17" spans="15:34" ht="13.5" thickBot="1">
      <c r="O17" s="11" t="s">
        <v>28</v>
      </c>
      <c r="P17" s="12" t="str">
        <f>B8</f>
        <v>Václ</v>
      </c>
      <c r="Q17" s="12" t="str">
        <f>B4</f>
        <v>Šašinka</v>
      </c>
      <c r="R17" s="56">
        <v>3</v>
      </c>
      <c r="S17" s="56">
        <v>6</v>
      </c>
      <c r="T17" s="56">
        <v>4</v>
      </c>
      <c r="U17" s="56"/>
      <c r="V17" s="56"/>
      <c r="W17" s="12">
        <f>IF(R17&gt;0,1,0)+IF(S17&gt;0,1,0)+IF(T17&gt;0,1,0)+IF(U17&gt;0,1,0)+IF(V17&gt;0,1,0)</f>
        <v>3</v>
      </c>
      <c r="X17" s="13">
        <f>IF(S17&lt;0,1,0)+IF(T17&lt;0,1,0)+IF(R17&lt;0,1,0)+IF(U17&lt;0,1,0)+IF(V17&lt;0,1,0)</f>
        <v>0</v>
      </c>
      <c r="Y17" s="14">
        <f t="shared" si="2"/>
        <v>2</v>
      </c>
      <c r="Z17">
        <f t="shared" si="3"/>
        <v>1</v>
      </c>
      <c r="AA17" t="str">
        <f t="shared" si="6"/>
        <v>3:0 (3, 6, 4)</v>
      </c>
      <c r="AB17" t="str">
        <f t="shared" si="7"/>
        <v>0:3 (-3, -6, -4)</v>
      </c>
      <c r="AC17">
        <f>IF(Y17&gt;Z17,VLOOKUP(Q17,Seznam!$A$2:$B$21,2,FALSE),0)</f>
        <v>2</v>
      </c>
      <c r="AD17">
        <f>IF(Z17&gt;Y17,VLOOKUP(P17,Seznam!$A$2:$B$21,2,FALSE),0)</f>
        <v>0</v>
      </c>
      <c r="AF17" t="str">
        <f>'Finálová část'!B6</f>
        <v>Pipek</v>
      </c>
      <c r="AG17">
        <f>'Finálová část'!C6</f>
        <v>6</v>
      </c>
      <c r="AH17">
        <f>'Finálová část'!D6</f>
        <v>0</v>
      </c>
    </row>
    <row r="18" spans="25:34" ht="12.75">
      <c r="Y18" s="5"/>
      <c r="AF18" t="str">
        <f>'Finálová část'!B7</f>
        <v>Vörös</v>
      </c>
      <c r="AG18">
        <f>'Finálová část'!C7</f>
        <v>4</v>
      </c>
      <c r="AH18">
        <f>'Finálová část'!D7</f>
        <v>0</v>
      </c>
    </row>
    <row r="19" spans="25:34" ht="12.75">
      <c r="Y19" s="5"/>
      <c r="AF19" t="str">
        <f>'Finálová část'!B8</f>
        <v>Arientová E.</v>
      </c>
      <c r="AG19">
        <f>'Finálová část'!C8</f>
        <v>2</v>
      </c>
      <c r="AH19">
        <f>'Finálová část'!D8</f>
        <v>1</v>
      </c>
    </row>
    <row r="20" spans="23:34" ht="13.5" thickBot="1">
      <c r="W20" s="40"/>
      <c r="X20" s="40"/>
      <c r="Y20" s="41" t="s">
        <v>2</v>
      </c>
      <c r="Z20" s="15"/>
      <c r="AF20" t="str">
        <f>'Finálová část'!B9</f>
        <v>Líbal T.</v>
      </c>
      <c r="AG20">
        <f>'Finálová část'!C9</f>
        <v>4</v>
      </c>
      <c r="AH20">
        <f>'Finálová část'!D9</f>
        <v>1</v>
      </c>
    </row>
    <row r="21" spans="2:34" ht="12.75">
      <c r="B21" s="6" t="s">
        <v>29</v>
      </c>
      <c r="C21" s="7" t="str">
        <f>B22</f>
        <v>Němec</v>
      </c>
      <c r="D21" s="7" t="str">
        <f>B23</f>
        <v>Smékal</v>
      </c>
      <c r="E21" s="7" t="str">
        <f>B24</f>
        <v>Choutková</v>
      </c>
      <c r="F21" s="7" t="str">
        <f>B25</f>
        <v>Holinková</v>
      </c>
      <c r="G21" s="7" t="str">
        <f>B26</f>
        <v>Tůma</v>
      </c>
      <c r="H21" s="7" t="str">
        <f>B27</f>
        <v>Gregor</v>
      </c>
      <c r="I21" s="19" t="s">
        <v>4</v>
      </c>
      <c r="J21" s="20" t="s">
        <v>5</v>
      </c>
      <c r="K21" s="20"/>
      <c r="L21" s="27" t="s">
        <v>6</v>
      </c>
      <c r="O21" s="16" t="s">
        <v>7</v>
      </c>
      <c r="P21" s="7" t="str">
        <f>B22</f>
        <v>Němec</v>
      </c>
      <c r="Q21" s="7" t="str">
        <f>B27</f>
        <v>Gregor</v>
      </c>
      <c r="R21" s="54">
        <v>-6</v>
      </c>
      <c r="S21" s="54">
        <v>-3</v>
      </c>
      <c r="T21" s="54">
        <v>-6</v>
      </c>
      <c r="U21" s="54"/>
      <c r="V21" s="54"/>
      <c r="W21" s="7">
        <f>IF(R21&gt;0,1,0)+IF(S21&gt;0,1,0)+IF(T21&gt;0,1,0)+IF(U21&gt;0,1,0)+IF(V21&gt;0,1,0)</f>
        <v>0</v>
      </c>
      <c r="X21" s="8">
        <f>IF(S21&lt;0,1,0)+IF(T21&lt;0,1,0)+IF(R21&lt;0,1,0)+IF(U21&lt;0,1,0)+IF(V21&lt;0,1,0)</f>
        <v>3</v>
      </c>
      <c r="Y21" s="14">
        <f>IF(AND(IF(W21&gt;X21,2,1)=1,R21="WO"),0,IF(W21&gt;X21,2,1))</f>
        <v>1</v>
      </c>
      <c r="Z21">
        <f>IF(AND(IF(X21&gt;W21,2,1)=1,R21="WO"),0,IF(X21&gt;W21,2,1))</f>
        <v>2</v>
      </c>
      <c r="AA21" t="str">
        <f aca="true" t="shared" si="12" ref="AA21:AA35">CONCATENATE(W21,":",X21," (",R21,IF(S21&lt;&gt;"",CONCATENATE(", ",S21),""),IF(T21&lt;&gt;"",CONCATENATE(", ",T21),""),IF(U21&lt;&gt;"",CONCATENATE(", ",U21),""),IF(V21&lt;&gt;"",CONCATENATE(", ",V21),""),")")</f>
        <v>0:3 (-6, -3, -6)</v>
      </c>
      <c r="AB21" t="str">
        <f aca="true" t="shared" si="13" ref="AB21:AB35">CONCATENATE(X21,":",W21," (",IF(R21="WO","WO",-R21),IF(S21&lt;&gt;"",CONCATENATE(", ",-S21),""),IF(T21&lt;&gt;"",CONCATENATE(", ",-T21),""),IF(U21&lt;&gt;"",CONCATENATE(", ",-U21),""),IF(V21&lt;&gt;"",CONCATENATE(", ",-V21),""),")")</f>
        <v>3:0 (6, 3, 6)</v>
      </c>
      <c r="AC21">
        <f>IF(Y21&gt;Z21,VLOOKUP(Q21,Seznam!$A$2:$B$21,2,FALSE),0)</f>
        <v>0</v>
      </c>
      <c r="AD21">
        <f>IF(Z21&gt;Y21,VLOOKUP(P21,Seznam!$A$2:$B$21,2,FALSE),0)</f>
        <v>3</v>
      </c>
      <c r="AF21" t="str">
        <f>'Finálová část'!B10</f>
        <v>Bárta M.</v>
      </c>
      <c r="AG21">
        <f>'Finálová část'!C10</f>
        <v>2</v>
      </c>
      <c r="AH21">
        <f>'Finálová část'!D10</f>
        <v>0</v>
      </c>
    </row>
    <row r="22" spans="1:34" ht="12.75">
      <c r="A22" s="31">
        <f aca="true" t="shared" si="14" ref="A22:A27">(I22-5)*2</f>
        <v>4</v>
      </c>
      <c r="B22" s="50" t="s">
        <v>164</v>
      </c>
      <c r="C22" s="38" t="s">
        <v>8</v>
      </c>
      <c r="D22" s="36" t="str">
        <f>AA26</f>
        <v>3:0 (9, 1, 10)</v>
      </c>
      <c r="E22" s="36" t="str">
        <f>AB28</f>
        <v>0:3 (-5, -7, -6)</v>
      </c>
      <c r="F22" s="36" t="str">
        <f>AA31</f>
        <v>3:0 (8, 9, 9)</v>
      </c>
      <c r="G22" s="36" t="str">
        <f>AB35</f>
        <v>0:3 (-5, -5, -5)</v>
      </c>
      <c r="H22" s="36" t="str">
        <f>AA21</f>
        <v>0:3 (-6, -3, -6)</v>
      </c>
      <c r="I22" s="21">
        <f>Y21+Y26+Z28+Y31+Z35</f>
        <v>7</v>
      </c>
      <c r="J22" s="22">
        <f>W21+W26+X28+W31+X35</f>
        <v>6</v>
      </c>
      <c r="K22" s="23">
        <f>X21+X26+W28+X31+W35</f>
        <v>9</v>
      </c>
      <c r="L22" s="28" t="str">
        <f aca="true" t="shared" si="15" ref="L22:L27">IF(B22=$B$29,"1.",IF(B22=$B$30,"2.",IF(B22=$B$31,"3.",IF(B22=$B$32,"4.",IF(B22=$B$33,"5.",IF(B22=$B$34,"6.",""))))))</f>
        <v>4.</v>
      </c>
      <c r="O22" s="9" t="s">
        <v>9</v>
      </c>
      <c r="P22" s="4" t="str">
        <f>B23</f>
        <v>Smékal</v>
      </c>
      <c r="Q22" s="4" t="str">
        <f>B26</f>
        <v>Tůma</v>
      </c>
      <c r="R22" s="55">
        <v>-2</v>
      </c>
      <c r="S22" s="55">
        <v>-5</v>
      </c>
      <c r="T22" s="55">
        <v>-4</v>
      </c>
      <c r="U22" s="55"/>
      <c r="V22" s="55"/>
      <c r="W22" s="4">
        <f>IF(R22&gt;0,1,0)+IF(S22&gt;0,1,0)+IF(T22&gt;0,1,0)+IF(U22&gt;0,1,0)+IF(V22&gt;0,1,0)</f>
        <v>0</v>
      </c>
      <c r="X22" s="10">
        <f>IF(S22&lt;0,1,0)+IF(T22&lt;0,1,0)+IF(R22&lt;0,1,0)+IF(U22&lt;0,1,0)+IF(V22&lt;0,1,0)</f>
        <v>3</v>
      </c>
      <c r="Y22" s="14">
        <f aca="true" t="shared" si="16" ref="Y22:Y35">IF(AND(IF(W22&gt;X22,2,1)=1,R22="WO"),0,IF(W22&gt;X22,2,1))</f>
        <v>1</v>
      </c>
      <c r="Z22">
        <f aca="true" t="shared" si="17" ref="Z22:Z35">IF(AND(IF(X22&gt;W22,2,1)=1,R22="WO"),0,IF(X22&gt;W22,2,1))</f>
        <v>2</v>
      </c>
      <c r="AA22" t="str">
        <f t="shared" si="12"/>
        <v>0:3 (-2, -5, -4)</v>
      </c>
      <c r="AB22" t="str">
        <f t="shared" si="13"/>
        <v>3:0 (2, 5, 4)</v>
      </c>
      <c r="AC22">
        <f>IF(Y22&gt;Z22,VLOOKUP(Q22,Seznam!$A$2:$B$21,2,FALSE),0)</f>
        <v>0</v>
      </c>
      <c r="AD22">
        <f>IF(Z22&gt;Y22,VLOOKUP(P22,Seznam!$A$2:$B$21,2,FALSE),0)</f>
        <v>3</v>
      </c>
      <c r="AH22"/>
    </row>
    <row r="23" spans="1:34" ht="12.75">
      <c r="A23" s="31">
        <f t="shared" si="14"/>
        <v>0</v>
      </c>
      <c r="B23" s="50" t="s">
        <v>165</v>
      </c>
      <c r="C23" s="36" t="str">
        <f>AB26</f>
        <v>0:3 (-9, -1, -10)</v>
      </c>
      <c r="D23" s="38" t="s">
        <v>8</v>
      </c>
      <c r="E23" s="36" t="str">
        <f>AA32</f>
        <v>0:3 (-5, -4, -7)</v>
      </c>
      <c r="F23" s="36" t="str">
        <f>AB34</f>
        <v>0:3 (-7, -7, -11)</v>
      </c>
      <c r="G23" s="36" t="str">
        <f>AA22</f>
        <v>0:3 (-2, -5, -4)</v>
      </c>
      <c r="H23" s="36" t="str">
        <f>AA27</f>
        <v>0:3 (-2, -1, -1)</v>
      </c>
      <c r="I23" s="21">
        <f>Y22+Z26+Y27+Y32+Z34</f>
        <v>5</v>
      </c>
      <c r="J23" s="22">
        <f>W22+X26+W27+W32+X34</f>
        <v>0</v>
      </c>
      <c r="K23" s="23">
        <f>X22+W26+X27+X32+W34</f>
        <v>15</v>
      </c>
      <c r="L23" s="28" t="str">
        <f t="shared" si="15"/>
        <v>6.</v>
      </c>
      <c r="O23" s="9" t="s">
        <v>10</v>
      </c>
      <c r="P23" s="4" t="str">
        <f>B24</f>
        <v>Choutková</v>
      </c>
      <c r="Q23" s="4" t="str">
        <f>B25</f>
        <v>Holinková</v>
      </c>
      <c r="R23" s="55">
        <v>6</v>
      </c>
      <c r="S23" s="55">
        <v>2</v>
      </c>
      <c r="T23" s="55">
        <v>9</v>
      </c>
      <c r="U23" s="55"/>
      <c r="V23" s="55"/>
      <c r="W23" s="4">
        <f aca="true" t="shared" si="18" ref="W23:W35">IF(R23&gt;0,1,0)+IF(S23&gt;0,1,0)+IF(T23&gt;0,1,0)+IF(U23&gt;0,1,0)+IF(V23&gt;0,1,0)</f>
        <v>3</v>
      </c>
      <c r="X23" s="10">
        <f aca="true" t="shared" si="19" ref="X23:X35">IF(S23&lt;0,1,0)+IF(T23&lt;0,1,0)+IF(R23&lt;0,1,0)+IF(U23&lt;0,1,0)+IF(V23&lt;0,1,0)</f>
        <v>0</v>
      </c>
      <c r="Y23" s="14">
        <f t="shared" si="16"/>
        <v>2</v>
      </c>
      <c r="Z23">
        <f t="shared" si="17"/>
        <v>1</v>
      </c>
      <c r="AA23" t="str">
        <f t="shared" si="12"/>
        <v>3:0 (6, 2, 9)</v>
      </c>
      <c r="AB23" t="str">
        <f t="shared" si="13"/>
        <v>0:3 (-6, -2, -9)</v>
      </c>
      <c r="AC23">
        <f>IF(Y23&gt;Z23,VLOOKUP(Q23,Seznam!$A$2:$B$21,2,FALSE),0)</f>
        <v>3</v>
      </c>
      <c r="AD23">
        <f>IF(Z23&gt;Y23,VLOOKUP(P23,Seznam!$A$2:$B$21,2,FALSE),0)</f>
        <v>0</v>
      </c>
      <c r="AH23"/>
    </row>
    <row r="24" spans="1:34" ht="12.75">
      <c r="A24" s="31">
        <f t="shared" si="14"/>
        <v>10</v>
      </c>
      <c r="B24" s="50" t="s">
        <v>161</v>
      </c>
      <c r="C24" s="36" t="str">
        <f>AA28</f>
        <v>3:0 (5, 7, 6)</v>
      </c>
      <c r="D24" s="36" t="str">
        <f>AB32</f>
        <v>3:0 (5, 4, 7)</v>
      </c>
      <c r="E24" s="38" t="s">
        <v>8</v>
      </c>
      <c r="F24" s="36" t="str">
        <f>AA23</f>
        <v>3:0 (6, 2, 9)</v>
      </c>
      <c r="G24" s="36" t="str">
        <f>AB25</f>
        <v>3:1 (-10, 9, 7, 7)</v>
      </c>
      <c r="H24" s="36" t="str">
        <f>AA33</f>
        <v>3:1 (11, -9, 8, 6)</v>
      </c>
      <c r="I24" s="21">
        <f>Y23+Z25+Y28+Z32+Y33</f>
        <v>10</v>
      </c>
      <c r="J24" s="22">
        <f>W23+X25+W28+X32+W33</f>
        <v>15</v>
      </c>
      <c r="K24" s="23">
        <f>X23+W25+X28+W32+X33</f>
        <v>2</v>
      </c>
      <c r="L24" s="28" t="str">
        <f t="shared" si="15"/>
        <v>1.</v>
      </c>
      <c r="O24" s="17" t="s">
        <v>11</v>
      </c>
      <c r="P24" s="4" t="str">
        <f>B27</f>
        <v>Gregor</v>
      </c>
      <c r="Q24" s="4" t="str">
        <f>B25</f>
        <v>Holinková</v>
      </c>
      <c r="R24" s="55">
        <v>5</v>
      </c>
      <c r="S24" s="55">
        <v>5</v>
      </c>
      <c r="T24" s="55">
        <v>7</v>
      </c>
      <c r="U24" s="55"/>
      <c r="V24" s="55"/>
      <c r="W24" s="4">
        <f t="shared" si="18"/>
        <v>3</v>
      </c>
      <c r="X24" s="10">
        <f t="shared" si="19"/>
        <v>0</v>
      </c>
      <c r="Y24" s="14">
        <f t="shared" si="16"/>
        <v>2</v>
      </c>
      <c r="Z24">
        <f t="shared" si="17"/>
        <v>1</v>
      </c>
      <c r="AA24" t="str">
        <f t="shared" si="12"/>
        <v>3:0 (5, 5, 7)</v>
      </c>
      <c r="AB24" t="str">
        <f t="shared" si="13"/>
        <v>0:3 (-5, -5, -7)</v>
      </c>
      <c r="AC24">
        <f>IF(Y24&gt;Z24,VLOOKUP(Q24,Seznam!$A$2:$B$21,2,FALSE),0)</f>
        <v>3</v>
      </c>
      <c r="AD24">
        <f>IF(Z24&gt;Y24,VLOOKUP(P24,Seznam!$A$2:$B$21,2,FALSE),0)</f>
        <v>0</v>
      </c>
      <c r="AH24"/>
    </row>
    <row r="25" spans="1:34" ht="12.75">
      <c r="A25" s="31">
        <f t="shared" si="14"/>
        <v>2</v>
      </c>
      <c r="B25" s="50" t="s">
        <v>162</v>
      </c>
      <c r="C25" s="36" t="str">
        <f>AB31</f>
        <v>0:3 (-8, -9, -9)</v>
      </c>
      <c r="D25" s="36" t="str">
        <f>AA34</f>
        <v>3:0 (7, 7, 11)</v>
      </c>
      <c r="E25" s="36" t="str">
        <f>AB23</f>
        <v>0:3 (-6, -2, -9)</v>
      </c>
      <c r="F25" s="38" t="s">
        <v>8</v>
      </c>
      <c r="G25" s="36" t="str">
        <f>AA29</f>
        <v>0:3 (-6, -8, -6)</v>
      </c>
      <c r="H25" s="36" t="str">
        <f>AB24</f>
        <v>0:3 (-5, -5, -7)</v>
      </c>
      <c r="I25" s="21">
        <f>Z23+Z24+Y29+Z31+Y34</f>
        <v>6</v>
      </c>
      <c r="J25" s="22">
        <f>X23+X24+W29+X31+W34</f>
        <v>3</v>
      </c>
      <c r="K25" s="23">
        <f>W23+W24+X29+W31+X34</f>
        <v>12</v>
      </c>
      <c r="L25" s="28" t="str">
        <f t="shared" si="15"/>
        <v>5.</v>
      </c>
      <c r="O25" s="9" t="s">
        <v>12</v>
      </c>
      <c r="P25" s="4" t="str">
        <f>B26</f>
        <v>Tůma</v>
      </c>
      <c r="Q25" s="4" t="str">
        <f>B24</f>
        <v>Choutková</v>
      </c>
      <c r="R25" s="55">
        <v>10</v>
      </c>
      <c r="S25" s="55">
        <v>-9</v>
      </c>
      <c r="T25" s="55">
        <v>-7</v>
      </c>
      <c r="U25" s="55">
        <v>-7</v>
      </c>
      <c r="V25" s="55"/>
      <c r="W25" s="4">
        <f t="shared" si="18"/>
        <v>1</v>
      </c>
      <c r="X25" s="10">
        <f t="shared" si="19"/>
        <v>3</v>
      </c>
      <c r="Y25" s="14">
        <f t="shared" si="16"/>
        <v>1</v>
      </c>
      <c r="Z25">
        <f t="shared" si="17"/>
        <v>2</v>
      </c>
      <c r="AA25" t="str">
        <f t="shared" si="12"/>
        <v>1:3 (10, -9, -7, -7)</v>
      </c>
      <c r="AB25" t="str">
        <f t="shared" si="13"/>
        <v>3:1 (-10, 9, 7, 7)</v>
      </c>
      <c r="AC25">
        <f>IF(Y25&gt;Z25,VLOOKUP(Q25,Seznam!$A$2:$B$21,2,FALSE),0)</f>
        <v>0</v>
      </c>
      <c r="AD25">
        <f>IF(Z25&gt;Y25,VLOOKUP(P25,Seznam!$A$2:$B$21,2,FALSE),0)</f>
        <v>4</v>
      </c>
      <c r="AH25"/>
    </row>
    <row r="26" spans="1:34" ht="12.75">
      <c r="A26" s="31">
        <f t="shared" si="14"/>
        <v>6</v>
      </c>
      <c r="B26" s="50" t="s">
        <v>160</v>
      </c>
      <c r="C26" s="36" t="str">
        <f>AA35</f>
        <v>3:0 (5, 5, 5)</v>
      </c>
      <c r="D26" s="36" t="str">
        <f>AB22</f>
        <v>3:0 (2, 5, 4)</v>
      </c>
      <c r="E26" s="36" t="str">
        <f>AA25</f>
        <v>1:3 (10, -9, -7, -7)</v>
      </c>
      <c r="F26" s="36" t="str">
        <f>AB29</f>
        <v>3:0 (6, 8, 6)</v>
      </c>
      <c r="G26" s="38" t="s">
        <v>8</v>
      </c>
      <c r="H26" s="36" t="str">
        <f>AB30</f>
        <v>0:3 (-9, -4, -7)</v>
      </c>
      <c r="I26" s="21">
        <f>Z22+Y25+Z29+Z30+Y35</f>
        <v>8</v>
      </c>
      <c r="J26" s="22">
        <f>X22+W25+X29+X30+W35</f>
        <v>10</v>
      </c>
      <c r="K26" s="23">
        <f>W22+X25+W29+W30+X35</f>
        <v>6</v>
      </c>
      <c r="L26" s="28" t="str">
        <f t="shared" si="15"/>
        <v>3.</v>
      </c>
      <c r="O26" s="9" t="s">
        <v>13</v>
      </c>
      <c r="P26" s="4" t="str">
        <f>B22</f>
        <v>Němec</v>
      </c>
      <c r="Q26" s="4" t="str">
        <f>B23</f>
        <v>Smékal</v>
      </c>
      <c r="R26" s="55">
        <v>9</v>
      </c>
      <c r="S26" s="55">
        <v>1</v>
      </c>
      <c r="T26" s="55">
        <v>10</v>
      </c>
      <c r="U26" s="55"/>
      <c r="V26" s="55"/>
      <c r="W26" s="4">
        <f t="shared" si="18"/>
        <v>3</v>
      </c>
      <c r="X26" s="10">
        <f t="shared" si="19"/>
        <v>0</v>
      </c>
      <c r="Y26" s="14">
        <f t="shared" si="16"/>
        <v>2</v>
      </c>
      <c r="Z26">
        <f t="shared" si="17"/>
        <v>1</v>
      </c>
      <c r="AA26" t="str">
        <f t="shared" si="12"/>
        <v>3:0 (9, 1, 10)</v>
      </c>
      <c r="AB26" t="str">
        <f t="shared" si="13"/>
        <v>0:3 (-9, -1, -10)</v>
      </c>
      <c r="AC26">
        <f>IF(Y26&gt;Z26,VLOOKUP(Q26,Seznam!$A$2:$B$21,2,FALSE),0)</f>
        <v>3</v>
      </c>
      <c r="AD26">
        <f>IF(Z26&gt;Y26,VLOOKUP(P26,Seznam!$A$2:$B$21,2,FALSE),0)</f>
        <v>0</v>
      </c>
      <c r="AH26"/>
    </row>
    <row r="27" spans="1:34" ht="13.5" thickBot="1">
      <c r="A27" s="31">
        <f t="shared" si="14"/>
        <v>8</v>
      </c>
      <c r="B27" s="51" t="s">
        <v>163</v>
      </c>
      <c r="C27" s="37" t="str">
        <f>AB21</f>
        <v>3:0 (6, 3, 6)</v>
      </c>
      <c r="D27" s="37" t="str">
        <f>AB27</f>
        <v>3:0 (2, 1, 1)</v>
      </c>
      <c r="E27" s="37" t="str">
        <f>AB33</f>
        <v>1:3 (-11, 9, -8, -6)</v>
      </c>
      <c r="F27" s="37" t="str">
        <f>AA24</f>
        <v>3:0 (5, 5, 7)</v>
      </c>
      <c r="G27" s="37" t="str">
        <f>AA30</f>
        <v>3:0 (9, 4, 7)</v>
      </c>
      <c r="H27" s="39" t="s">
        <v>8</v>
      </c>
      <c r="I27" s="24">
        <f>Z21+Y24+Z27+Y30+Z33</f>
        <v>9</v>
      </c>
      <c r="J27" s="25">
        <f>X21+W24+X27+W30+X33</f>
        <v>13</v>
      </c>
      <c r="K27" s="26">
        <f>W21+X24+W27+X30+W33</f>
        <v>3</v>
      </c>
      <c r="L27" s="29" t="str">
        <f t="shared" si="15"/>
        <v>2.</v>
      </c>
      <c r="O27" s="9" t="s">
        <v>14</v>
      </c>
      <c r="P27" s="4" t="str">
        <f>B23</f>
        <v>Smékal</v>
      </c>
      <c r="Q27" s="4" t="str">
        <f>B27</f>
        <v>Gregor</v>
      </c>
      <c r="R27" s="55">
        <v>-2</v>
      </c>
      <c r="S27" s="55">
        <v>-1</v>
      </c>
      <c r="T27" s="55">
        <v>-1</v>
      </c>
      <c r="U27" s="55"/>
      <c r="V27" s="55"/>
      <c r="W27" s="4">
        <f t="shared" si="18"/>
        <v>0</v>
      </c>
      <c r="X27" s="10">
        <f t="shared" si="19"/>
        <v>3</v>
      </c>
      <c r="Y27" s="14">
        <f t="shared" si="16"/>
        <v>1</v>
      </c>
      <c r="Z27">
        <f t="shared" si="17"/>
        <v>2</v>
      </c>
      <c r="AA27" t="str">
        <f t="shared" si="12"/>
        <v>0:3 (-2, -1, -1)</v>
      </c>
      <c r="AB27" t="str">
        <f t="shared" si="13"/>
        <v>3:0 (2, 1, 1)</v>
      </c>
      <c r="AC27">
        <f>IF(Y27&gt;Z27,VLOOKUP(Q27,Seznam!$A$2:$B$21,2,FALSE),0)</f>
        <v>0</v>
      </c>
      <c r="AD27">
        <f>IF(Z27&gt;Y27,VLOOKUP(P27,Seznam!$A$2:$B$21,2,FALSE),0)</f>
        <v>3</v>
      </c>
      <c r="AH27"/>
    </row>
    <row r="28" spans="13:30" ht="12.75">
      <c r="M28" s="5"/>
      <c r="O28" s="9" t="s">
        <v>15</v>
      </c>
      <c r="P28" s="4" t="str">
        <f>B24</f>
        <v>Choutková</v>
      </c>
      <c r="Q28" s="4" t="str">
        <f>B22</f>
        <v>Němec</v>
      </c>
      <c r="R28" s="55">
        <v>5</v>
      </c>
      <c r="S28" s="55">
        <v>7</v>
      </c>
      <c r="T28" s="55">
        <v>6</v>
      </c>
      <c r="U28" s="55"/>
      <c r="V28" s="55"/>
      <c r="W28" s="4">
        <f t="shared" si="18"/>
        <v>3</v>
      </c>
      <c r="X28" s="10">
        <f t="shared" si="19"/>
        <v>0</v>
      </c>
      <c r="Y28" s="14">
        <f t="shared" si="16"/>
        <v>2</v>
      </c>
      <c r="Z28">
        <f t="shared" si="17"/>
        <v>1</v>
      </c>
      <c r="AA28" t="str">
        <f t="shared" si="12"/>
        <v>3:0 (5, 7, 6)</v>
      </c>
      <c r="AB28" t="str">
        <f t="shared" si="13"/>
        <v>0:3 (-5, -7, -6)</v>
      </c>
      <c r="AC28">
        <f>IF(Y28&gt;Z28,VLOOKUP(Q28,Seznam!$A$2:$B$21,2,FALSE),0)</f>
        <v>3</v>
      </c>
      <c r="AD28">
        <f>IF(Z28&gt;Y28,VLOOKUP(P28,Seznam!$A$2:$B$21,2,FALSE),0)</f>
        <v>0</v>
      </c>
    </row>
    <row r="29" spans="1:30" ht="12.75">
      <c r="A29" s="30" t="s">
        <v>16</v>
      </c>
      <c r="B29" t="str">
        <f>'Pořadí ve skupinách'!O13</f>
        <v>Choutková</v>
      </c>
      <c r="O29" s="9" t="s">
        <v>17</v>
      </c>
      <c r="P29" s="4" t="str">
        <f>B25</f>
        <v>Holinková</v>
      </c>
      <c r="Q29" s="4" t="str">
        <f>B26</f>
        <v>Tůma</v>
      </c>
      <c r="R29" s="55">
        <v>-6</v>
      </c>
      <c r="S29" s="55">
        <v>-8</v>
      </c>
      <c r="T29" s="55">
        <v>-6</v>
      </c>
      <c r="U29" s="55"/>
      <c r="V29" s="55"/>
      <c r="W29" s="4">
        <f t="shared" si="18"/>
        <v>0</v>
      </c>
      <c r="X29" s="10">
        <f t="shared" si="19"/>
        <v>3</v>
      </c>
      <c r="Y29" s="14">
        <f t="shared" si="16"/>
        <v>1</v>
      </c>
      <c r="Z29">
        <f t="shared" si="17"/>
        <v>2</v>
      </c>
      <c r="AA29" t="str">
        <f t="shared" si="12"/>
        <v>0:3 (-6, -8, -6)</v>
      </c>
      <c r="AB29" t="str">
        <f t="shared" si="13"/>
        <v>3:0 (6, 8, 6)</v>
      </c>
      <c r="AC29">
        <f>IF(Y29&gt;Z29,VLOOKUP(Q29,Seznam!$A$2:$B$21,2,FALSE),0)</f>
        <v>0</v>
      </c>
      <c r="AD29">
        <f>IF(Z29&gt;Y29,VLOOKUP(P29,Seznam!$A$2:$B$21,2,FALSE),0)</f>
        <v>3</v>
      </c>
    </row>
    <row r="30" spans="1:30" ht="12.75">
      <c r="A30" s="30" t="s">
        <v>18</v>
      </c>
      <c r="B30" t="str">
        <f>'Pořadí ve skupinách'!O14</f>
        <v>Gregor</v>
      </c>
      <c r="O30" s="9" t="s">
        <v>19</v>
      </c>
      <c r="P30" s="4" t="str">
        <f>B27</f>
        <v>Gregor</v>
      </c>
      <c r="Q30" s="4" t="str">
        <f>B26</f>
        <v>Tůma</v>
      </c>
      <c r="R30" s="55">
        <v>9</v>
      </c>
      <c r="S30" s="55">
        <v>4</v>
      </c>
      <c r="T30" s="55">
        <v>7</v>
      </c>
      <c r="U30" s="55"/>
      <c r="V30" s="55"/>
      <c r="W30" s="4">
        <f t="shared" si="18"/>
        <v>3</v>
      </c>
      <c r="X30" s="10">
        <f t="shared" si="19"/>
        <v>0</v>
      </c>
      <c r="Y30" s="14">
        <f t="shared" si="16"/>
        <v>2</v>
      </c>
      <c r="Z30">
        <f t="shared" si="17"/>
        <v>1</v>
      </c>
      <c r="AA30" t="str">
        <f t="shared" si="12"/>
        <v>3:0 (9, 4, 7)</v>
      </c>
      <c r="AB30" t="str">
        <f t="shared" si="13"/>
        <v>0:3 (-9, -4, -7)</v>
      </c>
      <c r="AC30">
        <f>IF(Y30&gt;Z30,VLOOKUP(Q30,Seznam!$A$2:$B$21,2,FALSE),0)</f>
        <v>4</v>
      </c>
      <c r="AD30">
        <f>IF(Z30&gt;Y30,VLOOKUP(P30,Seznam!$A$2:$B$21,2,FALSE),0)</f>
        <v>0</v>
      </c>
    </row>
    <row r="31" spans="1:30" ht="12.75">
      <c r="A31" s="30" t="s">
        <v>20</v>
      </c>
      <c r="B31" t="str">
        <f>'Pořadí ve skupinách'!O15</f>
        <v>Tůma</v>
      </c>
      <c r="O31" s="9" t="s">
        <v>21</v>
      </c>
      <c r="P31" s="4" t="str">
        <f>B22</f>
        <v>Němec</v>
      </c>
      <c r="Q31" s="4" t="str">
        <f>B25</f>
        <v>Holinková</v>
      </c>
      <c r="R31" s="55">
        <v>8</v>
      </c>
      <c r="S31" s="55">
        <v>9</v>
      </c>
      <c r="T31" s="55">
        <v>9</v>
      </c>
      <c r="U31" s="55"/>
      <c r="V31" s="55"/>
      <c r="W31" s="4">
        <f t="shared" si="18"/>
        <v>3</v>
      </c>
      <c r="X31" s="10">
        <f t="shared" si="19"/>
        <v>0</v>
      </c>
      <c r="Y31" s="14">
        <f t="shared" si="16"/>
        <v>2</v>
      </c>
      <c r="Z31">
        <f t="shared" si="17"/>
        <v>1</v>
      </c>
      <c r="AA31" t="str">
        <f t="shared" si="12"/>
        <v>3:0 (8, 9, 9)</v>
      </c>
      <c r="AB31" t="str">
        <f t="shared" si="13"/>
        <v>0:3 (-8, -9, -9)</v>
      </c>
      <c r="AC31">
        <f>IF(Y31&gt;Z31,VLOOKUP(Q31,Seznam!$A$2:$B$21,2,FALSE),0)</f>
        <v>3</v>
      </c>
      <c r="AD31">
        <f>IF(Z31&gt;Y31,VLOOKUP(P31,Seznam!$A$2:$B$21,2,FALSE),0)</f>
        <v>0</v>
      </c>
    </row>
    <row r="32" spans="1:30" ht="12.75">
      <c r="A32" s="30" t="s">
        <v>22</v>
      </c>
      <c r="B32" t="str">
        <f>'Pořadí ve skupinách'!O16</f>
        <v>Němec</v>
      </c>
      <c r="O32" s="9" t="s">
        <v>23</v>
      </c>
      <c r="P32" s="4" t="str">
        <f>B23</f>
        <v>Smékal</v>
      </c>
      <c r="Q32" s="4" t="str">
        <f>B24</f>
        <v>Choutková</v>
      </c>
      <c r="R32" s="55">
        <v>-5</v>
      </c>
      <c r="S32" s="55">
        <v>-4</v>
      </c>
      <c r="T32" s="55">
        <v>-7</v>
      </c>
      <c r="U32" s="55"/>
      <c r="V32" s="55"/>
      <c r="W32" s="4">
        <f t="shared" si="18"/>
        <v>0</v>
      </c>
      <c r="X32" s="10">
        <f t="shared" si="19"/>
        <v>3</v>
      </c>
      <c r="Y32" s="14">
        <f t="shared" si="16"/>
        <v>1</v>
      </c>
      <c r="Z32">
        <f t="shared" si="17"/>
        <v>2</v>
      </c>
      <c r="AA32" t="str">
        <f t="shared" si="12"/>
        <v>0:3 (-5, -4, -7)</v>
      </c>
      <c r="AB32" t="str">
        <f t="shared" si="13"/>
        <v>3:0 (5, 4, 7)</v>
      </c>
      <c r="AC32">
        <f>IF(Y32&gt;Z32,VLOOKUP(Q32,Seznam!$A$2:$B$21,2,FALSE),0)</f>
        <v>0</v>
      </c>
      <c r="AD32">
        <f>IF(Z32&gt;Y32,VLOOKUP(P32,Seznam!$A$2:$B$21,2,FALSE),0)</f>
        <v>3</v>
      </c>
    </row>
    <row r="33" spans="1:30" ht="12.75">
      <c r="A33" s="30" t="s">
        <v>24</v>
      </c>
      <c r="B33" t="str">
        <f>'Pořadí ve skupinách'!O17</f>
        <v>Holinková</v>
      </c>
      <c r="O33" s="9" t="s">
        <v>25</v>
      </c>
      <c r="P33" s="4" t="str">
        <f>B24</f>
        <v>Choutková</v>
      </c>
      <c r="Q33" s="4" t="str">
        <f>B27</f>
        <v>Gregor</v>
      </c>
      <c r="R33" s="55">
        <v>11</v>
      </c>
      <c r="S33" s="55">
        <v>-9</v>
      </c>
      <c r="T33" s="55">
        <v>8</v>
      </c>
      <c r="U33" s="55">
        <v>6</v>
      </c>
      <c r="V33" s="55"/>
      <c r="W33" s="4">
        <f t="shared" si="18"/>
        <v>3</v>
      </c>
      <c r="X33" s="10">
        <f t="shared" si="19"/>
        <v>1</v>
      </c>
      <c r="Y33" s="14">
        <f t="shared" si="16"/>
        <v>2</v>
      </c>
      <c r="Z33">
        <f t="shared" si="17"/>
        <v>1</v>
      </c>
      <c r="AA33" t="str">
        <f t="shared" si="12"/>
        <v>3:1 (11, -9, 8, 6)</v>
      </c>
      <c r="AB33" t="str">
        <f t="shared" si="13"/>
        <v>1:3 (-11, 9, -8, -6)</v>
      </c>
      <c r="AC33">
        <f>IF(Y33&gt;Z33,VLOOKUP(Q33,Seznam!$A$2:$B$21,2,FALSE),0)</f>
        <v>5</v>
      </c>
      <c r="AD33">
        <f>IF(Z33&gt;Y33,VLOOKUP(P33,Seznam!$A$2:$B$21,2,FALSE),0)</f>
        <v>0</v>
      </c>
    </row>
    <row r="34" spans="1:30" ht="12.75">
      <c r="A34" s="30" t="s">
        <v>26</v>
      </c>
      <c r="B34" t="str">
        <f>'Pořadí ve skupinách'!O18</f>
        <v>Smékal</v>
      </c>
      <c r="O34" s="9" t="s">
        <v>27</v>
      </c>
      <c r="P34" s="4" t="str">
        <f>B25</f>
        <v>Holinková</v>
      </c>
      <c r="Q34" s="4" t="str">
        <f>B23</f>
        <v>Smékal</v>
      </c>
      <c r="R34" s="55">
        <v>7</v>
      </c>
      <c r="S34" s="55">
        <v>7</v>
      </c>
      <c r="T34" s="55">
        <v>11</v>
      </c>
      <c r="U34" s="55"/>
      <c r="V34" s="55"/>
      <c r="W34" s="4">
        <f t="shared" si="18"/>
        <v>3</v>
      </c>
      <c r="X34" s="10">
        <f t="shared" si="19"/>
        <v>0</v>
      </c>
      <c r="Y34" s="14">
        <f t="shared" si="16"/>
        <v>2</v>
      </c>
      <c r="Z34">
        <f t="shared" si="17"/>
        <v>1</v>
      </c>
      <c r="AA34" t="str">
        <f t="shared" si="12"/>
        <v>3:0 (7, 7, 11)</v>
      </c>
      <c r="AB34" t="str">
        <f t="shared" si="13"/>
        <v>0:3 (-7, -7, -11)</v>
      </c>
      <c r="AC34">
        <f>IF(Y34&gt;Z34,VLOOKUP(Q34,Seznam!$A$2:$B$21,2,FALSE),0)</f>
        <v>3</v>
      </c>
      <c r="AD34">
        <f>IF(Z34&gt;Y34,VLOOKUP(P34,Seznam!$A$2:$B$21,2,FALSE),0)</f>
        <v>0</v>
      </c>
    </row>
    <row r="35" spans="15:30" ht="13.5" thickBot="1">
      <c r="O35" s="11" t="s">
        <v>28</v>
      </c>
      <c r="P35" s="12" t="str">
        <f>B26</f>
        <v>Tůma</v>
      </c>
      <c r="Q35" s="12" t="str">
        <f>B22</f>
        <v>Němec</v>
      </c>
      <c r="R35" s="56">
        <v>5</v>
      </c>
      <c r="S35" s="56">
        <v>5</v>
      </c>
      <c r="T35" s="56">
        <v>5</v>
      </c>
      <c r="U35" s="56"/>
      <c r="V35" s="56"/>
      <c r="W35" s="12">
        <f t="shared" si="18"/>
        <v>3</v>
      </c>
      <c r="X35" s="13">
        <f t="shared" si="19"/>
        <v>0</v>
      </c>
      <c r="Y35" s="14">
        <f t="shared" si="16"/>
        <v>2</v>
      </c>
      <c r="Z35">
        <f t="shared" si="17"/>
        <v>1</v>
      </c>
      <c r="AA35" t="str">
        <f t="shared" si="12"/>
        <v>3:0 (5, 5, 5)</v>
      </c>
      <c r="AB35" t="str">
        <f t="shared" si="13"/>
        <v>0:3 (-5, -5, -5)</v>
      </c>
      <c r="AC35">
        <f>IF(Y35&gt;Z35,VLOOKUP(Q35,Seznam!$A$2:$B$21,2,FALSE),0)</f>
        <v>3</v>
      </c>
      <c r="AD35">
        <f>IF(Z35&gt;Y35,VLOOKUP(P35,Seznam!$A$2:$B$21,2,FALSE),0)</f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workbookViewId="0" topLeftCell="A1">
      <selection activeCell="A9" sqref="A9"/>
    </sheetView>
  </sheetViews>
  <sheetFormatPr defaultColWidth="9.00390625" defaultRowHeight="12.75"/>
  <cols>
    <col min="1" max="1" width="9.125" style="30" customWidth="1"/>
    <col min="2" max="5" width="18.75390625" style="0" customWidth="1"/>
    <col min="7" max="8" width="11.625" style="0" customWidth="1"/>
    <col min="9" max="13" width="4.00390625" style="0" customWidth="1"/>
    <col min="14" max="15" width="4.125" style="0" customWidth="1"/>
    <col min="16" max="16" width="17.00390625" style="0" customWidth="1"/>
  </cols>
  <sheetData>
    <row r="2" spans="3:4" ht="12.75">
      <c r="C2" t="s">
        <v>30</v>
      </c>
      <c r="D2" t="s">
        <v>31</v>
      </c>
    </row>
    <row r="3" spans="1:4" ht="12.75">
      <c r="A3" s="30" t="s">
        <v>32</v>
      </c>
      <c r="B3" s="52" t="s">
        <v>187</v>
      </c>
      <c r="C3" s="48">
        <v>8</v>
      </c>
      <c r="D3" s="48">
        <v>2</v>
      </c>
    </row>
    <row r="4" spans="1:4" ht="12.75">
      <c r="A4" s="30" t="s">
        <v>33</v>
      </c>
      <c r="B4" s="53" t="s">
        <v>188</v>
      </c>
      <c r="C4" s="48">
        <v>10</v>
      </c>
      <c r="D4" s="48">
        <v>1</v>
      </c>
    </row>
    <row r="5" spans="1:4" ht="12.75">
      <c r="A5" s="30" t="s">
        <v>34</v>
      </c>
      <c r="B5" s="53" t="s">
        <v>194</v>
      </c>
      <c r="C5" s="48">
        <v>8</v>
      </c>
      <c r="D5" s="48"/>
    </row>
    <row r="6" spans="1:4" ht="12.75">
      <c r="A6" s="30" t="s">
        <v>35</v>
      </c>
      <c r="B6" s="53" t="s">
        <v>193</v>
      </c>
      <c r="C6" s="48">
        <v>6</v>
      </c>
      <c r="D6" s="48"/>
    </row>
    <row r="7" spans="1:4" ht="12.75">
      <c r="A7" s="30" t="s">
        <v>36</v>
      </c>
      <c r="B7" s="53" t="s">
        <v>180</v>
      </c>
      <c r="C7" s="48">
        <v>4</v>
      </c>
      <c r="D7" s="48"/>
    </row>
    <row r="8" spans="1:4" ht="12.75">
      <c r="A8" s="30" t="s">
        <v>37</v>
      </c>
      <c r="B8" s="53" t="s">
        <v>181</v>
      </c>
      <c r="C8" s="48">
        <v>2</v>
      </c>
      <c r="D8" s="48">
        <v>1</v>
      </c>
    </row>
    <row r="9" spans="1:4" ht="12.75">
      <c r="A9" s="30" t="s">
        <v>38</v>
      </c>
      <c r="B9" s="53" t="s">
        <v>182</v>
      </c>
      <c r="C9" s="48">
        <v>4</v>
      </c>
      <c r="D9" s="48">
        <v>1</v>
      </c>
    </row>
    <row r="10" spans="1:4" ht="12.75">
      <c r="A10" s="30" t="s">
        <v>39</v>
      </c>
      <c r="B10" s="53" t="s">
        <v>186</v>
      </c>
      <c r="C10" s="48">
        <v>2</v>
      </c>
      <c r="D10" s="48"/>
    </row>
    <row r="14" spans="1:2" ht="13.5" thickBot="1">
      <c r="A14" s="30" t="s">
        <v>32</v>
      </c>
      <c r="B14" s="1" t="str">
        <f>B3</f>
        <v>Mottl</v>
      </c>
    </row>
    <row r="15" spans="2:19" ht="12.75">
      <c r="B15" s="2"/>
      <c r="C15" s="1" t="str">
        <f>IF(N15&gt;O15,B14,B16)</f>
        <v>Němec</v>
      </c>
      <c r="G15" s="6" t="str">
        <f>B14</f>
        <v>Mottl</v>
      </c>
      <c r="H15" s="7" t="str">
        <f>B16</f>
        <v>Němec</v>
      </c>
      <c r="I15" s="54">
        <v>7</v>
      </c>
      <c r="J15" s="54">
        <v>-5</v>
      </c>
      <c r="K15" s="54">
        <v>-8</v>
      </c>
      <c r="L15" s="54">
        <v>-7</v>
      </c>
      <c r="M15" s="54"/>
      <c r="N15" s="7">
        <f>IF(I15&gt;0,1,0)+IF(J15&gt;0,1,0)+IF(K15&gt;0,1,0)+IF(L15&gt;0,1,0)+IF(M15&gt;0,1,0)</f>
        <v>1</v>
      </c>
      <c r="O15" s="8">
        <f>IF(I15&lt;0,1,0)+IF(J15&lt;0,1,0)+IF(K15&lt;0,1,0)+IF(L15&lt;0,1,0)+IF(M15&lt;0,1,0)</f>
        <v>3</v>
      </c>
      <c r="P15" t="str">
        <f>IF(N15&gt;O15,CONCATENATE(N15,":",O15," (",I15,IF(J15&lt;&gt;"",CONCATENATE(", ",J15),""),IF(K15&lt;&gt;"",CONCATENATE(", ",K15),""),IF(L15&lt;&gt;"",CONCATENATE(", ",L15),""),IF(M15&lt;&gt;"",CONCATENATE(", ",M15),""),")"),CONCATENATE(O15,":",N15," (",IF(I15="WO","WO",-I15),IF(J15&lt;&gt;"",CONCATENATE(", ",-J15),""),IF(K15&lt;&gt;"",CONCATENATE(", ",-K15),""),IF(L15&lt;&gt;"",CONCATENATE(", ",-L15),""),IF(M15&lt;&gt;"",CONCATENATE(", ",-M15),""),")"))</f>
        <v>3:1 (-7, 5, 8, 7)</v>
      </c>
      <c r="Q15" t="str">
        <f>IF(N15&gt;O15,G15,H15)</f>
        <v>Němec</v>
      </c>
      <c r="R15">
        <f>IF(I15&lt;&gt;"WO",S15,0)</f>
        <v>0</v>
      </c>
      <c r="S15">
        <f>IF(N15&gt;O15,VLOOKUP(H15,Seznam!$A$2:$B$21,2,FALSE),VLOOKUP('Finálová část'!G15,Seznam!$A$2:$B$21,2,FALSE))</f>
        <v>0</v>
      </c>
    </row>
    <row r="16" spans="1:19" ht="13.5" thickBot="1">
      <c r="A16" s="30" t="s">
        <v>40</v>
      </c>
      <c r="B16" s="3" t="str">
        <f>'Základní část'!B32</f>
        <v>Němec</v>
      </c>
      <c r="C16" s="34" t="str">
        <f>P15</f>
        <v>3:1 (-7, 5, 8, 7)</v>
      </c>
      <c r="G16" s="11" t="str">
        <f>B18</f>
        <v>Zajakov</v>
      </c>
      <c r="H16" s="12" t="str">
        <f>B20</f>
        <v>Václ</v>
      </c>
      <c r="I16" s="56">
        <v>-4</v>
      </c>
      <c r="J16" s="56">
        <v>-4</v>
      </c>
      <c r="K16" s="56">
        <v>-7</v>
      </c>
      <c r="L16" s="56"/>
      <c r="M16" s="56"/>
      <c r="N16" s="12">
        <f>IF(I16&gt;0,1,0)+IF(J16&gt;0,1,0)+IF(K16&gt;0,1,0)+IF(L16&gt;0,1,0)+IF(M16&gt;0,1,0)</f>
        <v>0</v>
      </c>
      <c r="O16" s="13">
        <f>IF(I16&lt;0,1,0)+IF(J16&lt;0,1,0)+IF(K16&lt;0,1,0)+IF(L16&lt;0,1,0)+IF(M16&lt;0,1,0)</f>
        <v>3</v>
      </c>
      <c r="P16" t="str">
        <f aca="true" t="shared" si="0" ref="P16:P30">IF(N16&gt;O16,CONCATENATE(N16,":",O16," (",I16,IF(J16&lt;&gt;"",CONCATENATE(", ",J16),""),IF(K16&lt;&gt;"",CONCATENATE(", ",K16),""),IF(L16&lt;&gt;"",CONCATENATE(", ",L16),""),IF(M16&lt;&gt;"",CONCATENATE(", ",M16),""),")"),CONCATENATE(O16,":",N16," (",IF(I16="WO","WO",-I16),IF(J16&lt;&gt;"",CONCATENATE(", ",-J16),""),IF(K16&lt;&gt;"",CONCATENATE(", ",-K16),""),IF(L16&lt;&gt;"",CONCATENATE(", ",-L16),""),IF(M16&lt;&gt;"",CONCATENATE(", ",-M16),""),")"))</f>
        <v>3:0 (4, 4, 7)</v>
      </c>
      <c r="Q16" t="str">
        <f aca="true" t="shared" si="1" ref="Q16:Q30">IF(N16&gt;O16,G16,H16)</f>
        <v>Václ</v>
      </c>
      <c r="R16">
        <f>IF(I16&lt;&gt;"WO",S16,0)</f>
        <v>1</v>
      </c>
      <c r="S16">
        <f>IF(N16&gt;O16,VLOOKUP(H16,Seznam!$A$2:$B$21,2,FALSE),VLOOKUP('Finálová část'!G16,Seznam!$A$2:$B$21,2,FALSE))</f>
        <v>1</v>
      </c>
    </row>
    <row r="17" spans="14:15" ht="12.75">
      <c r="N17" s="5"/>
      <c r="O17" s="5"/>
    </row>
    <row r="18" spans="1:15" ht="12.75">
      <c r="A18" s="30" t="s">
        <v>33</v>
      </c>
      <c r="B18" s="1" t="str">
        <f>B4</f>
        <v>Zajakov</v>
      </c>
      <c r="N18" s="5"/>
      <c r="O18" s="5"/>
    </row>
    <row r="19" spans="2:15" ht="12.75">
      <c r="B19" s="2"/>
      <c r="C19" s="1" t="str">
        <f>IF(N16&gt;O16,B18,B20)</f>
        <v>Václ</v>
      </c>
      <c r="N19" s="5"/>
      <c r="O19" s="5"/>
    </row>
    <row r="20" spans="1:15" ht="12.75">
      <c r="A20" s="30" t="s">
        <v>41</v>
      </c>
      <c r="B20" s="3" t="str">
        <f>'Základní část'!B14</f>
        <v>Václ</v>
      </c>
      <c r="C20" s="34" t="str">
        <f>P16</f>
        <v>3:0 (4, 4, 7)</v>
      </c>
      <c r="N20" s="5"/>
      <c r="O20" s="5"/>
    </row>
    <row r="21" spans="14:15" ht="13.5" thickBot="1">
      <c r="N21" s="5"/>
      <c r="O21" s="5"/>
    </row>
    <row r="22" spans="1:19" ht="12.75">
      <c r="A22" s="30" t="s">
        <v>42</v>
      </c>
      <c r="B22" s="1" t="str">
        <f>'Základní část'!B11</f>
        <v>Trmal</v>
      </c>
      <c r="G22" s="6" t="str">
        <f>B22</f>
        <v>Trmal</v>
      </c>
      <c r="H22" s="7" t="str">
        <f>B24</f>
        <v>Němec</v>
      </c>
      <c r="I22" s="54">
        <v>4</v>
      </c>
      <c r="J22" s="54">
        <v>2</v>
      </c>
      <c r="K22" s="54">
        <v>5</v>
      </c>
      <c r="L22" s="54"/>
      <c r="M22" s="54"/>
      <c r="N22" s="7">
        <f>IF(I22&gt;0,1,0)+IF(J22&gt;0,1,0)+IF(K22&gt;0,1,0)+IF(L22&gt;0,1,0)+IF(M22&gt;0,1,0)</f>
        <v>3</v>
      </c>
      <c r="O22" s="8">
        <f>IF(I22&lt;0,1,0)+IF(J22&lt;0,1,0)+IF(K22&lt;0,1,0)+IF(L22&lt;0,1,0)+IF(M22&lt;0,1,0)</f>
        <v>0</v>
      </c>
      <c r="P22" t="str">
        <f t="shared" si="0"/>
        <v>3:0 (4, 2, 5)</v>
      </c>
      <c r="Q22" t="str">
        <f t="shared" si="1"/>
        <v>Trmal</v>
      </c>
      <c r="R22">
        <f aca="true" t="shared" si="2" ref="R22:R32">IF(I22&lt;&gt;"WO",S22,0)</f>
        <v>3</v>
      </c>
      <c r="S22">
        <f>IF(N22&gt;O22,VLOOKUP(H22,Seznam!$A$2:$B$21,2,FALSE),VLOOKUP('Finálová část'!G22,Seznam!$A$2:$B$21,2,FALSE))</f>
        <v>3</v>
      </c>
    </row>
    <row r="23" spans="2:19" ht="12.75">
      <c r="B23" s="2"/>
      <c r="C23" s="1" t="str">
        <f>IF(N22&gt;O22,B22,B24)</f>
        <v>Trmal</v>
      </c>
      <c r="G23" s="9" t="str">
        <f>B26</f>
        <v>Herout</v>
      </c>
      <c r="H23" s="4" t="str">
        <f>B28</f>
        <v>Gregor</v>
      </c>
      <c r="I23" s="55">
        <v>8</v>
      </c>
      <c r="J23" s="55">
        <v>7</v>
      </c>
      <c r="K23" s="55">
        <v>4</v>
      </c>
      <c r="L23" s="55"/>
      <c r="M23" s="55"/>
      <c r="N23" s="4">
        <f>IF(I23&gt;0,1,0)+IF(J23&gt;0,1,0)+IF(K23&gt;0,1,0)+IF(L23&gt;0,1,0)+IF(M23&gt;0,1,0)</f>
        <v>3</v>
      </c>
      <c r="O23" s="10">
        <f>IF(I23&lt;0,1,0)+IF(J23&lt;0,1,0)+IF(K23&lt;0,1,0)+IF(L23&lt;0,1,0)+IF(M23&lt;0,1,0)</f>
        <v>0</v>
      </c>
      <c r="P23" t="str">
        <f t="shared" si="0"/>
        <v>3:0 (8, 7, 4)</v>
      </c>
      <c r="Q23" t="str">
        <f t="shared" si="1"/>
        <v>Herout</v>
      </c>
      <c r="R23">
        <f t="shared" si="2"/>
        <v>5</v>
      </c>
      <c r="S23">
        <f>IF(N23&gt;O23,VLOOKUP(H23,Seznam!$A$2:$B$21,2,FALSE),VLOOKUP('Finálová část'!G23,Seznam!$A$2:$B$21,2,FALSE))</f>
        <v>5</v>
      </c>
    </row>
    <row r="24" spans="1:19" ht="12.75">
      <c r="A24" s="30" t="s">
        <v>43</v>
      </c>
      <c r="B24" s="3" t="str">
        <f>C15</f>
        <v>Němec</v>
      </c>
      <c r="C24" s="35" t="str">
        <f>P22</f>
        <v>3:0 (4, 2, 5)</v>
      </c>
      <c r="G24" s="9" t="str">
        <f>B30</f>
        <v>Choutka</v>
      </c>
      <c r="H24" s="4" t="str">
        <f>B32</f>
        <v>Tůma</v>
      </c>
      <c r="I24" s="55">
        <v>7</v>
      </c>
      <c r="J24" s="55">
        <v>8</v>
      </c>
      <c r="K24" s="55">
        <v>7</v>
      </c>
      <c r="L24" s="55"/>
      <c r="M24" s="55"/>
      <c r="N24" s="4">
        <f aca="true" t="shared" si="3" ref="N24:N35">IF(I24&gt;0,1,0)+IF(J24&gt;0,1,0)+IF(K24&gt;0,1,0)+IF(L24&gt;0,1,0)+IF(M24&gt;0,1,0)</f>
        <v>3</v>
      </c>
      <c r="O24" s="10">
        <f aca="true" t="shared" si="4" ref="O24:O35">IF(I24&lt;0,1,0)+IF(J24&lt;0,1,0)+IF(K24&lt;0,1,0)+IF(L24&lt;0,1,0)+IF(M24&lt;0,1,0)</f>
        <v>0</v>
      </c>
      <c r="P24" t="str">
        <f t="shared" si="0"/>
        <v>3:0 (7, 8, 7)</v>
      </c>
      <c r="Q24" t="str">
        <f t="shared" si="1"/>
        <v>Choutka</v>
      </c>
      <c r="R24">
        <f t="shared" si="2"/>
        <v>4</v>
      </c>
      <c r="S24">
        <f>IF(N24&gt;O24,VLOOKUP(H24,Seznam!$A$2:$B$21,2,FALSE),VLOOKUP('Finálová část'!G24,Seznam!$A$2:$B$21,2,FALSE))</f>
        <v>4</v>
      </c>
    </row>
    <row r="25" spans="3:19" ht="13.5" thickBot="1">
      <c r="C25" s="2"/>
      <c r="D25" s="1" t="str">
        <f>IF(N27&gt;O27,C23,C27)</f>
        <v>Trmal</v>
      </c>
      <c r="G25" s="11" t="str">
        <f>B34</f>
        <v>Václ</v>
      </c>
      <c r="H25" s="12" t="str">
        <f>B36</f>
        <v>Choutková</v>
      </c>
      <c r="I25" s="56">
        <v>-6</v>
      </c>
      <c r="J25" s="56">
        <v>-6</v>
      </c>
      <c r="K25" s="56">
        <v>-11</v>
      </c>
      <c r="L25" s="56"/>
      <c r="M25" s="56"/>
      <c r="N25" s="12">
        <f t="shared" si="3"/>
        <v>0</v>
      </c>
      <c r="O25" s="13">
        <f t="shared" si="4"/>
        <v>3</v>
      </c>
      <c r="P25" t="str">
        <f t="shared" si="0"/>
        <v>3:0 (6, 6, 11)</v>
      </c>
      <c r="Q25" t="str">
        <f t="shared" si="1"/>
        <v>Choutková</v>
      </c>
      <c r="R25">
        <f t="shared" si="2"/>
        <v>4</v>
      </c>
      <c r="S25">
        <f>IF(N25&gt;O25,VLOOKUP(H25,Seznam!$A$2:$B$21,2,FALSE),VLOOKUP('Finálová část'!G25,Seznam!$A$2:$B$21,2,FALSE))</f>
        <v>4</v>
      </c>
    </row>
    <row r="26" spans="1:15" ht="13.5" thickBot="1">
      <c r="A26" s="30" t="s">
        <v>44</v>
      </c>
      <c r="B26" s="1" t="str">
        <f>'Základní část'!B13</f>
        <v>Herout</v>
      </c>
      <c r="C26" s="2"/>
      <c r="D26" s="35" t="str">
        <f>P27</f>
        <v>3:0 (7, 5, 8)</v>
      </c>
      <c r="N26" s="5"/>
      <c r="O26" s="5"/>
    </row>
    <row r="27" spans="2:19" ht="12.75">
      <c r="B27" s="2"/>
      <c r="C27" s="3" t="str">
        <f>IF(N23&gt;O23,B26,B28)</f>
        <v>Herout</v>
      </c>
      <c r="D27" s="2"/>
      <c r="G27" s="6" t="str">
        <f>C23</f>
        <v>Trmal</v>
      </c>
      <c r="H27" s="7" t="str">
        <f>C27</f>
        <v>Herout</v>
      </c>
      <c r="I27" s="54">
        <v>7</v>
      </c>
      <c r="J27" s="54">
        <v>5</v>
      </c>
      <c r="K27" s="54">
        <v>8</v>
      </c>
      <c r="L27" s="54"/>
      <c r="M27" s="54"/>
      <c r="N27" s="7">
        <f t="shared" si="3"/>
        <v>3</v>
      </c>
      <c r="O27" s="8">
        <f t="shared" si="4"/>
        <v>0</v>
      </c>
      <c r="P27" t="str">
        <f t="shared" si="0"/>
        <v>3:0 (7, 5, 8)</v>
      </c>
      <c r="Q27" t="str">
        <f t="shared" si="1"/>
        <v>Trmal</v>
      </c>
      <c r="R27">
        <f t="shared" si="2"/>
        <v>5</v>
      </c>
      <c r="S27">
        <f>IF(N27&gt;O27,VLOOKUP(H27,Seznam!$A$2:$B$21,2,FALSE),VLOOKUP('Finálová část'!G27,Seznam!$A$2:$B$21,2,FALSE))</f>
        <v>5</v>
      </c>
    </row>
    <row r="28" spans="1:19" ht="12.75">
      <c r="A28" s="30" t="s">
        <v>45</v>
      </c>
      <c r="B28" s="3" t="str">
        <f>'Základní část'!B30</f>
        <v>Gregor</v>
      </c>
      <c r="C28" s="34" t="str">
        <f>P23</f>
        <v>3:0 (8, 7, 4)</v>
      </c>
      <c r="D28" s="2"/>
      <c r="G28" s="9" t="str">
        <f>C31</f>
        <v>Choutka</v>
      </c>
      <c r="H28" s="4" t="str">
        <f>C35</f>
        <v>Choutková</v>
      </c>
      <c r="I28" s="55">
        <v>12</v>
      </c>
      <c r="J28" s="55">
        <v>9</v>
      </c>
      <c r="K28" s="55">
        <v>9</v>
      </c>
      <c r="L28" s="55"/>
      <c r="M28" s="55"/>
      <c r="N28" s="4">
        <f t="shared" si="3"/>
        <v>3</v>
      </c>
      <c r="O28" s="10">
        <f t="shared" si="4"/>
        <v>0</v>
      </c>
      <c r="P28" t="str">
        <f t="shared" si="0"/>
        <v>3:0 (12, 9, 9)</v>
      </c>
      <c r="Q28" t="str">
        <f t="shared" si="1"/>
        <v>Choutka</v>
      </c>
      <c r="R28">
        <f t="shared" si="2"/>
        <v>4</v>
      </c>
      <c r="S28">
        <f>IF(N28&gt;O28,VLOOKUP(H28,Seznam!$A$2:$B$21,2,FALSE),VLOOKUP('Finálová část'!G28,Seznam!$A$2:$B$21,2,FALSE))</f>
        <v>4</v>
      </c>
    </row>
    <row r="29" spans="4:19" ht="12.75">
      <c r="D29" s="2"/>
      <c r="E29" s="1" t="str">
        <f>IF(N32&gt;O32,D25,D33)</f>
        <v>Trmal</v>
      </c>
      <c r="G29" s="9" t="str">
        <f>C42</f>
        <v>Němec</v>
      </c>
      <c r="H29" s="4" t="str">
        <f>C44</f>
        <v>Gregor</v>
      </c>
      <c r="I29" s="55">
        <v>-11</v>
      </c>
      <c r="J29" s="55">
        <v>5</v>
      </c>
      <c r="K29" s="55">
        <v>-8</v>
      </c>
      <c r="L29" s="55">
        <v>-4</v>
      </c>
      <c r="M29" s="55"/>
      <c r="N29" s="4">
        <f t="shared" si="3"/>
        <v>1</v>
      </c>
      <c r="O29" s="10">
        <f t="shared" si="4"/>
        <v>3</v>
      </c>
      <c r="P29" t="str">
        <f t="shared" si="0"/>
        <v>3:1 (11, -5, 8, 4)</v>
      </c>
      <c r="Q29" t="str">
        <f t="shared" si="1"/>
        <v>Gregor</v>
      </c>
      <c r="R29">
        <f t="shared" si="2"/>
        <v>3</v>
      </c>
      <c r="S29">
        <f>IF(N29&gt;O29,VLOOKUP(H29,Seznam!$A$2:$B$21,2,FALSE),VLOOKUP('Finálová část'!G29,Seznam!$A$2:$B$21,2,FALSE))</f>
        <v>3</v>
      </c>
    </row>
    <row r="30" spans="1:19" ht="13.5" thickBot="1">
      <c r="A30" s="30" t="s">
        <v>46</v>
      </c>
      <c r="B30" s="1" t="str">
        <f>'Základní část'!B12</f>
        <v>Choutka</v>
      </c>
      <c r="D30" s="2"/>
      <c r="E30" s="34" t="str">
        <f>P32</f>
        <v>3:0 (11, 2, 6)</v>
      </c>
      <c r="G30" s="11" t="str">
        <f>C46</f>
        <v>Tůma</v>
      </c>
      <c r="H30" s="12" t="str">
        <f>C48</f>
        <v>Václ</v>
      </c>
      <c r="I30" s="56">
        <v>6</v>
      </c>
      <c r="J30" s="56">
        <v>7</v>
      </c>
      <c r="K30" s="56">
        <v>2</v>
      </c>
      <c r="L30" s="56"/>
      <c r="M30" s="56"/>
      <c r="N30" s="12">
        <f t="shared" si="3"/>
        <v>3</v>
      </c>
      <c r="O30" s="13">
        <f t="shared" si="4"/>
        <v>0</v>
      </c>
      <c r="P30" t="str">
        <f t="shared" si="0"/>
        <v>3:0 (6, 7, 2)</v>
      </c>
      <c r="Q30" t="str">
        <f t="shared" si="1"/>
        <v>Tůma</v>
      </c>
      <c r="R30">
        <f t="shared" si="2"/>
        <v>4</v>
      </c>
      <c r="S30">
        <f>IF(N30&gt;O30,VLOOKUP(H30,Seznam!$A$2:$B$21,2,FALSE),VLOOKUP('Finálová část'!G30,Seznam!$A$2:$B$21,2,FALSE))</f>
        <v>4</v>
      </c>
    </row>
    <row r="31" spans="2:15" ht="13.5" thickBot="1">
      <c r="B31" s="2"/>
      <c r="C31" s="1" t="str">
        <f>IF(N24&gt;O24,B30,B32)</f>
        <v>Choutka</v>
      </c>
      <c r="D31" s="2"/>
      <c r="N31" s="5"/>
      <c r="O31" s="5"/>
    </row>
    <row r="32" spans="1:19" ht="12.75">
      <c r="A32" s="30" t="s">
        <v>47</v>
      </c>
      <c r="B32" s="3" t="str">
        <f>'Základní část'!B31</f>
        <v>Tůma</v>
      </c>
      <c r="C32" s="35" t="str">
        <f>P24</f>
        <v>3:0 (7, 8, 7)</v>
      </c>
      <c r="D32" s="2"/>
      <c r="G32" s="6" t="str">
        <f>D25</f>
        <v>Trmal</v>
      </c>
      <c r="H32" s="7" t="str">
        <f>D33</f>
        <v>Choutka</v>
      </c>
      <c r="I32" s="54">
        <v>11</v>
      </c>
      <c r="J32" s="54">
        <v>2</v>
      </c>
      <c r="K32" s="54">
        <v>6</v>
      </c>
      <c r="L32" s="54"/>
      <c r="M32" s="54"/>
      <c r="N32" s="7">
        <f t="shared" si="3"/>
        <v>3</v>
      </c>
      <c r="O32" s="8">
        <f t="shared" si="4"/>
        <v>0</v>
      </c>
      <c r="P32" t="str">
        <f>IF(N32&gt;O32,CONCATENATE(N32,":",O32," (",I32,IF(J32&lt;&gt;"",CONCATENATE(", ",J32),""),IF(K32&lt;&gt;"",CONCATENATE(", ",K32),""),IF(L32&lt;&gt;"",CONCATENATE(", ",L32),""),IF(M32&lt;&gt;"",CONCATENATE(", ",M32),""),")"),CONCATENATE(O32,":",N32," (",IF(I32="WO","WO",-I32),IF(J32&lt;&gt;"",CONCATENATE(", ",-J32),""),IF(K32&lt;&gt;"",CONCATENATE(", ",-K32),""),IF(L32&lt;&gt;"",CONCATENATE(", ",-L32),""),IF(M32&lt;&gt;"",CONCATENATE(", ",-M32),""),")"))</f>
        <v>3:0 (11, 2, 6)</v>
      </c>
      <c r="Q32" t="str">
        <f>IF(N32&gt;O32,G32,H32)</f>
        <v>Trmal</v>
      </c>
      <c r="R32">
        <f t="shared" si="2"/>
        <v>4</v>
      </c>
      <c r="S32">
        <f>IF(N32&gt;O32,VLOOKUP(H32,Seznam!$A$2:$B$21,2,FALSE),VLOOKUP('Finálová část'!G32,Seznam!$A$2:$B$21,2,FALSE))</f>
        <v>4</v>
      </c>
    </row>
    <row r="33" spans="3:19" ht="12.75">
      <c r="C33" s="2"/>
      <c r="D33" s="3" t="str">
        <f>IF(N28&gt;O28,C31,C35)</f>
        <v>Choutka</v>
      </c>
      <c r="G33" s="9" t="str">
        <f>D38</f>
        <v>Herout</v>
      </c>
      <c r="H33" s="4" t="str">
        <f>D40</f>
        <v>Choutková</v>
      </c>
      <c r="I33" s="55">
        <v>10</v>
      </c>
      <c r="J33" s="55">
        <v>9</v>
      </c>
      <c r="K33" s="55">
        <v>9</v>
      </c>
      <c r="L33" s="55"/>
      <c r="M33" s="55"/>
      <c r="N33" s="4">
        <f t="shared" si="3"/>
        <v>3</v>
      </c>
      <c r="O33" s="10">
        <f t="shared" si="4"/>
        <v>0</v>
      </c>
      <c r="P33" t="str">
        <f>IF(N33&gt;O33,CONCATENATE(N33,":",O33," (",I33,IF(J33&lt;&gt;"",CONCATENATE(", ",J33),""),IF(K33&lt;&gt;"",CONCATENATE(", ",K33),""),IF(L33&lt;&gt;"",CONCATENATE(", ",L33),""),IF(M33&lt;&gt;"",CONCATENATE(", ",M33),""),")"),CONCATENATE(O33,":",N33," (",IF(I33="WO","WO",-I33),IF(J33&lt;&gt;"",CONCATENATE(", ",-J33),""),IF(K33&lt;&gt;"",CONCATENATE(", ",-K33),""),IF(L33&lt;&gt;"",CONCATENATE(", ",-L33),""),IF(M33&lt;&gt;"",CONCATENATE(", ",-M33),""),")"))</f>
        <v>3:0 (10, 9, 9)</v>
      </c>
      <c r="Q33" t="str">
        <f>IF(N33&gt;O33,G33,H33)</f>
        <v>Herout</v>
      </c>
      <c r="R33">
        <f>IF(I33&lt;&gt;"WO",S33,0)</f>
        <v>4</v>
      </c>
      <c r="S33">
        <f>IF(N33&gt;O33,VLOOKUP(H33,Seznam!$A$2:$B$21,2,FALSE),VLOOKUP('Finálová část'!G33,Seznam!$A$2:$B$21,2,FALSE))</f>
        <v>4</v>
      </c>
    </row>
    <row r="34" spans="1:19" ht="12.75">
      <c r="A34" s="30" t="s">
        <v>48</v>
      </c>
      <c r="B34" s="1" t="str">
        <f>C19</f>
        <v>Václ</v>
      </c>
      <c r="C34" s="2"/>
      <c r="D34" s="34" t="str">
        <f>P28</f>
        <v>3:0 (12, 9, 9)</v>
      </c>
      <c r="G34" s="9" t="str">
        <f>D43</f>
        <v>Gregor</v>
      </c>
      <c r="H34" s="4" t="str">
        <f>D47</f>
        <v>Tůma</v>
      </c>
      <c r="I34" s="55">
        <v>7</v>
      </c>
      <c r="J34" s="55">
        <v>4</v>
      </c>
      <c r="K34" s="55">
        <v>6</v>
      </c>
      <c r="L34" s="55"/>
      <c r="M34" s="55"/>
      <c r="N34" s="4">
        <f t="shared" si="3"/>
        <v>3</v>
      </c>
      <c r="O34" s="10">
        <f t="shared" si="4"/>
        <v>0</v>
      </c>
      <c r="P34" t="str">
        <f>IF(N34&gt;O34,CONCATENATE(N34,":",O34," (",I34,IF(J34&lt;&gt;"",CONCATENATE(", ",J34),""),IF(K34&lt;&gt;"",CONCATENATE(", ",K34),""),IF(L34&lt;&gt;"",CONCATENATE(", ",L34),""),IF(M34&lt;&gt;"",CONCATENATE(", ",M34),""),")"),CONCATENATE(O34,":",N34," (",IF(I34="WO","WO",-I34),IF(J34&lt;&gt;"",CONCATENATE(", ",-J34),""),IF(K34&lt;&gt;"",CONCATENATE(", ",-K34),""),IF(L34&lt;&gt;"",CONCATENATE(", ",-L34),""),IF(M34&lt;&gt;"",CONCATENATE(", ",-M34),""),")"))</f>
        <v>3:0 (7, 4, 6)</v>
      </c>
      <c r="Q34" t="str">
        <f>IF(N34&gt;O34,G34,H34)</f>
        <v>Gregor</v>
      </c>
      <c r="R34">
        <f>IF(I34&lt;&gt;"WO",S34,0)</f>
        <v>4</v>
      </c>
      <c r="S34">
        <f>IF(N34&gt;O34,VLOOKUP(H34,Seznam!$A$2:$B$21,2,FALSE),VLOOKUP('Finálová část'!G34,Seznam!$A$2:$B$21,2,FALSE))</f>
        <v>4</v>
      </c>
    </row>
    <row r="35" spans="2:19" ht="13.5" thickBot="1">
      <c r="B35" s="2"/>
      <c r="C35" s="3" t="str">
        <f>IF(N25&gt;O25,B34,B36)</f>
        <v>Choutková</v>
      </c>
      <c r="G35" s="11" t="str">
        <f>D50</f>
        <v>Němec</v>
      </c>
      <c r="H35" s="12" t="str">
        <f>D52</f>
        <v>Václ</v>
      </c>
      <c r="I35" s="56">
        <v>-10</v>
      </c>
      <c r="J35" s="56">
        <v>-11</v>
      </c>
      <c r="K35" s="56">
        <v>-6</v>
      </c>
      <c r="L35" s="56"/>
      <c r="M35" s="56"/>
      <c r="N35" s="12">
        <f t="shared" si="3"/>
        <v>0</v>
      </c>
      <c r="O35" s="13">
        <f t="shared" si="4"/>
        <v>3</v>
      </c>
      <c r="P35" t="str">
        <f>IF(N35&gt;O35,CONCATENATE(N35,":",O35," (",I35,IF(J35&lt;&gt;"",CONCATENATE(", ",J35),""),IF(K35&lt;&gt;"",CONCATENATE(", ",K35),""),IF(L35&lt;&gt;"",CONCATENATE(", ",L35),""),IF(M35&lt;&gt;"",CONCATENATE(", ",M35),""),")"),CONCATENATE(O35,":",N35," (",IF(I35="WO","WO",-I35),IF(J35&lt;&gt;"",CONCATENATE(", ",-J35),""),IF(K35&lt;&gt;"",CONCATENATE(", ",-K35),""),IF(L35&lt;&gt;"",CONCATENATE(", ",-L35),""),IF(M35&lt;&gt;"",CONCATENATE(", ",-M35),""),")"))</f>
        <v>3:0 (10, 11, 6)</v>
      </c>
      <c r="Q35" t="str">
        <f>IF(N35&gt;O35,G35,H35)</f>
        <v>Václ</v>
      </c>
      <c r="R35">
        <f>IF(I35&lt;&gt;"WO",S35,0)</f>
        <v>3</v>
      </c>
      <c r="S35">
        <f>IF(N35&gt;O35,VLOOKUP(H35,Seznam!$A$2:$B$21,2,FALSE),VLOOKUP('Finálová část'!G35,Seznam!$A$2:$B$21,2,FALSE))</f>
        <v>3</v>
      </c>
    </row>
    <row r="36" spans="1:15" ht="12.75">
      <c r="A36" s="30" t="s">
        <v>49</v>
      </c>
      <c r="B36" s="3" t="str">
        <f>'Základní část'!B29</f>
        <v>Choutková</v>
      </c>
      <c r="C36" s="34" t="str">
        <f>P25</f>
        <v>3:0 (6, 6, 11)</v>
      </c>
      <c r="N36" s="5"/>
      <c r="O36" s="5"/>
    </row>
    <row r="37" spans="14:15" ht="12.75">
      <c r="N37" s="5"/>
      <c r="O37" s="5"/>
    </row>
    <row r="38" spans="4:15" ht="12.75">
      <c r="D38" s="1" t="str">
        <f>IF(N27&lt;O27,C23,C27)</f>
        <v>Herout</v>
      </c>
      <c r="N38" s="5"/>
      <c r="O38" s="5"/>
    </row>
    <row r="39" spans="4:15" ht="12.75">
      <c r="D39" s="2"/>
      <c r="E39" s="1" t="str">
        <f>IF(N33&gt;O33,D38,D40)</f>
        <v>Herout</v>
      </c>
      <c r="N39" s="5"/>
      <c r="O39" s="5"/>
    </row>
    <row r="40" spans="4:15" ht="12.75">
      <c r="D40" s="3" t="str">
        <f>IF(N28&lt;O28,C31,C35)</f>
        <v>Choutková</v>
      </c>
      <c r="E40" s="34" t="str">
        <f>P33</f>
        <v>3:0 (10, 9, 9)</v>
      </c>
      <c r="N40" s="5"/>
      <c r="O40" s="5"/>
    </row>
    <row r="41" spans="14:15" ht="12.75">
      <c r="N41" s="5"/>
      <c r="O41" s="5"/>
    </row>
    <row r="42" spans="3:15" ht="12.75">
      <c r="C42" s="1" t="str">
        <f>IF(N22&lt;O22,B22,B24)</f>
        <v>Němec</v>
      </c>
      <c r="N42" s="5"/>
      <c r="O42" s="5"/>
    </row>
    <row r="43" spans="3:15" ht="12.75">
      <c r="C43" s="2"/>
      <c r="D43" s="1" t="str">
        <f>IF(N29&gt;O29,C42,C44)</f>
        <v>Gregor</v>
      </c>
      <c r="N43" s="5"/>
      <c r="O43" s="5"/>
    </row>
    <row r="44" spans="3:15" ht="12.75">
      <c r="C44" s="3" t="str">
        <f>IF(N23&lt;O23,B26,B28)</f>
        <v>Gregor</v>
      </c>
      <c r="D44" s="35" t="str">
        <f>P29</f>
        <v>3:1 (11, -5, 8, 4)</v>
      </c>
      <c r="N44" s="5"/>
      <c r="O44" s="5"/>
    </row>
    <row r="45" spans="4:15" ht="12.75">
      <c r="D45" s="2"/>
      <c r="E45" s="1" t="str">
        <f>IF(N34&gt;O34,D43,D47)</f>
        <v>Gregor</v>
      </c>
      <c r="F45" s="5"/>
      <c r="N45" s="5"/>
      <c r="O45" s="5"/>
    </row>
    <row r="46" spans="3:15" ht="12.75">
      <c r="C46" s="1" t="str">
        <f>IF(N24&lt;O24,B30,B32)</f>
        <v>Tůma</v>
      </c>
      <c r="D46" s="2"/>
      <c r="E46" s="34" t="str">
        <f>P34</f>
        <v>3:0 (7, 4, 6)</v>
      </c>
      <c r="N46" s="5"/>
      <c r="O46" s="5"/>
    </row>
    <row r="47" spans="3:15" ht="12.75">
      <c r="C47" s="2"/>
      <c r="D47" s="3" t="str">
        <f>IF(N30&gt;O30,C46,C48)</f>
        <v>Tůma</v>
      </c>
      <c r="N47" s="5"/>
      <c r="O47" s="5"/>
    </row>
    <row r="48" spans="3:15" ht="12.75">
      <c r="C48" s="3" t="str">
        <f>IF(N25&lt;O25,B34,B36)</f>
        <v>Václ</v>
      </c>
      <c r="D48" s="34" t="str">
        <f>P30</f>
        <v>3:0 (6, 7, 2)</v>
      </c>
      <c r="N48" s="5"/>
      <c r="O48" s="5"/>
    </row>
    <row r="49" spans="14:15" ht="12.75">
      <c r="N49" s="5"/>
      <c r="O49" s="5"/>
    </row>
    <row r="50" spans="4:15" ht="12.75">
      <c r="D50" s="1" t="str">
        <f>IF(N29&lt;O29,C42,C44)</f>
        <v>Němec</v>
      </c>
      <c r="N50" s="5"/>
      <c r="O50" s="5"/>
    </row>
    <row r="51" spans="4:15" ht="12.75">
      <c r="D51" s="2"/>
      <c r="E51" s="1" t="str">
        <f>IF(N35&gt;O35,D50,D52)</f>
        <v>Václ</v>
      </c>
      <c r="N51" s="5"/>
      <c r="O51" s="5"/>
    </row>
    <row r="52" spans="4:15" ht="12.75">
      <c r="D52" s="3" t="str">
        <f>IF(N30&lt;O30,C46,C48)</f>
        <v>Václ</v>
      </c>
      <c r="E52" s="34" t="str">
        <f>P35</f>
        <v>3:0 (10, 11, 6)</v>
      </c>
      <c r="N52" s="5"/>
      <c r="O52" s="5"/>
    </row>
    <row r="53" spans="14:15" ht="12.75">
      <c r="N53" s="5"/>
      <c r="O53" s="5"/>
    </row>
    <row r="54" spans="14:15" ht="12.75">
      <c r="N54" s="5"/>
      <c r="O54" s="5"/>
    </row>
    <row r="55" spans="14:15" ht="13.5" thickBot="1">
      <c r="N55" s="5"/>
      <c r="O55" s="5"/>
    </row>
    <row r="56" spans="1:19" ht="12.75">
      <c r="A56" s="30" t="s">
        <v>50</v>
      </c>
      <c r="B56" s="1" t="str">
        <f>'Základní část'!B15</f>
        <v>Vrána</v>
      </c>
      <c r="G56" s="6" t="str">
        <f>B56</f>
        <v>Vrána</v>
      </c>
      <c r="H56" s="7" t="str">
        <f>B58</f>
        <v>Sosnovcová</v>
      </c>
      <c r="I56" s="54">
        <v>7</v>
      </c>
      <c r="J56" s="54">
        <v>3</v>
      </c>
      <c r="K56" s="54">
        <v>8</v>
      </c>
      <c r="L56" s="54"/>
      <c r="M56" s="54"/>
      <c r="N56" s="7">
        <f aca="true" t="shared" si="5" ref="N56:N69">IF(I56&gt;0,1,0)+IF(J56&gt;0,1,0)+IF(K56&gt;0,1,0)+IF(L56&gt;0,1,0)+IF(M56&gt;0,1,0)</f>
        <v>3</v>
      </c>
      <c r="O56" s="8">
        <f aca="true" t="shared" si="6" ref="O56:O69">IF(I56&lt;0,1,0)+IF(J56&lt;0,1,0)+IF(K56&lt;0,1,0)+IF(L56&lt;0,1,0)+IF(M56&lt;0,1,0)</f>
        <v>0</v>
      </c>
      <c r="P56" t="str">
        <f aca="true" t="shared" si="7" ref="P56:P63">IF(N56&gt;O56,CONCATENATE(N56,":",O56," (",I56,IF(J56&lt;&gt;"",CONCATENATE(", ",J56),""),IF(K56&lt;&gt;"",CONCATENATE(", ",K56),""),IF(L56&lt;&gt;"",CONCATENATE(", ",L56),""),IF(M56&lt;&gt;"",CONCATENATE(", ",M56),""),")"),CONCATENATE(O56,":",N56," (",IF(I56="WO","WO",-I56),IF(J56&lt;&gt;"",CONCATENATE(", ",-J56),""),IF(K56&lt;&gt;"",CONCATENATE(", ",-K56),""),IF(L56&lt;&gt;"",CONCATENATE(", ",-L56),""),IF(M56&lt;&gt;"",CONCATENATE(", ",-M56),""),")"))</f>
        <v>3:0 (7, 3, 8)</v>
      </c>
      <c r="Q56" t="str">
        <f aca="true" t="shared" si="8" ref="Q56:Q63">IF(N56&gt;O56,G56,H56)</f>
        <v>Vrána</v>
      </c>
      <c r="R56">
        <f aca="true" t="shared" si="9" ref="R56:R64">IF(I56&lt;&gt;"WO",S56,0)</f>
        <v>1</v>
      </c>
      <c r="S56">
        <f>IF(N56&gt;O56,VLOOKUP(H56,Seznam!$A$2:$B$21,2,FALSE),VLOOKUP('Finálová část'!G56,Seznam!$A$2:$B$21,2,FALSE))</f>
        <v>1</v>
      </c>
    </row>
    <row r="57" spans="2:19" ht="12.75">
      <c r="B57" s="2"/>
      <c r="C57" s="1" t="str">
        <f>IF(N56&gt;O56,B56,B58)</f>
        <v>Vrána</v>
      </c>
      <c r="G57" s="9" t="str">
        <f>B60</f>
        <v>Zajakov</v>
      </c>
      <c r="H57" s="4" t="str">
        <f>B62</f>
        <v>Smékal</v>
      </c>
      <c r="I57" s="55">
        <v>-7</v>
      </c>
      <c r="J57" s="55">
        <v>-9</v>
      </c>
      <c r="K57" s="55">
        <v>-11</v>
      </c>
      <c r="L57" s="55"/>
      <c r="M57" s="55"/>
      <c r="N57" s="4">
        <f t="shared" si="5"/>
        <v>0</v>
      </c>
      <c r="O57" s="10">
        <f t="shared" si="6"/>
        <v>3</v>
      </c>
      <c r="P57" t="str">
        <f t="shared" si="7"/>
        <v>3:0 (7, 9, 11)</v>
      </c>
      <c r="Q57" t="str">
        <f t="shared" si="8"/>
        <v>Smékal</v>
      </c>
      <c r="R57">
        <f t="shared" si="9"/>
        <v>1</v>
      </c>
      <c r="S57">
        <f>IF(N57&gt;O57,VLOOKUP(H57,Seznam!$A$2:$B$21,2,FALSE),VLOOKUP('Finálová část'!G57,Seznam!$A$2:$B$21,2,FALSE))</f>
        <v>1</v>
      </c>
    </row>
    <row r="58" spans="1:19" ht="12.75">
      <c r="A58" s="30" t="s">
        <v>34</v>
      </c>
      <c r="B58" s="3" t="str">
        <f>B5</f>
        <v>Sosnovcová</v>
      </c>
      <c r="C58" s="35" t="str">
        <f>P56</f>
        <v>3:0 (7, 3, 8)</v>
      </c>
      <c r="G58" s="9" t="str">
        <f>B64</f>
        <v>Šašinka</v>
      </c>
      <c r="H58" s="4" t="str">
        <f>B66</f>
        <v>Mottl</v>
      </c>
      <c r="I58" s="55">
        <v>-8</v>
      </c>
      <c r="J58" s="55">
        <v>-7</v>
      </c>
      <c r="K58" s="55">
        <v>9</v>
      </c>
      <c r="L58" s="55">
        <v>-6</v>
      </c>
      <c r="M58" s="55"/>
      <c r="N58" s="4">
        <f t="shared" si="5"/>
        <v>1</v>
      </c>
      <c r="O58" s="10">
        <f t="shared" si="6"/>
        <v>3</v>
      </c>
      <c r="P58" t="str">
        <f t="shared" si="7"/>
        <v>3:1 (8, 7, -9, 6)</v>
      </c>
      <c r="Q58" t="str">
        <f t="shared" si="8"/>
        <v>Mottl</v>
      </c>
      <c r="R58">
        <f t="shared" si="9"/>
        <v>2</v>
      </c>
      <c r="S58">
        <f>IF(N58&gt;O58,VLOOKUP(H58,Seznam!$A$2:$B$21,2,FALSE),VLOOKUP('Finálová část'!G58,Seznam!$A$2:$B$21,2,FALSE))</f>
        <v>2</v>
      </c>
    </row>
    <row r="59" spans="3:19" ht="13.5" thickBot="1">
      <c r="C59" s="2"/>
      <c r="D59" s="1" t="str">
        <f>IF(N61&gt;O61,C57,C61)</f>
        <v>Smékal</v>
      </c>
      <c r="G59" s="11" t="str">
        <f>B68</f>
        <v>Pipek</v>
      </c>
      <c r="H59" s="12" t="str">
        <f>B70</f>
        <v>Holinková</v>
      </c>
      <c r="I59" s="56">
        <v>-4</v>
      </c>
      <c r="J59" s="56">
        <v>-6</v>
      </c>
      <c r="K59" s="56">
        <v>-3</v>
      </c>
      <c r="L59" s="56"/>
      <c r="M59" s="56"/>
      <c r="N59" s="12">
        <f t="shared" si="5"/>
        <v>0</v>
      </c>
      <c r="O59" s="13">
        <f t="shared" si="6"/>
        <v>3</v>
      </c>
      <c r="P59" t="str">
        <f t="shared" si="7"/>
        <v>3:0 (4, 6, 3)</v>
      </c>
      <c r="Q59" t="str">
        <f t="shared" si="8"/>
        <v>Holinková</v>
      </c>
      <c r="R59">
        <f t="shared" si="9"/>
        <v>0</v>
      </c>
      <c r="S59">
        <f>IF(N59&gt;O59,VLOOKUP(H59,Seznam!$A$2:$B$21,2,FALSE),VLOOKUP('Finálová část'!G59,Seznam!$A$2:$B$21,2,FALSE))</f>
        <v>0</v>
      </c>
    </row>
    <row r="60" spans="1:15" ht="13.5" thickBot="1">
      <c r="A60" s="30" t="s">
        <v>51</v>
      </c>
      <c r="B60" s="1" t="str">
        <f>IF(N16&lt;O16,B18,B20)</f>
        <v>Zajakov</v>
      </c>
      <c r="C60" s="2"/>
      <c r="D60" s="35" t="str">
        <f>P61</f>
        <v>3:2 (-6, 9, 6, -7, 7)</v>
      </c>
      <c r="N60" s="5"/>
      <c r="O60" s="5"/>
    </row>
    <row r="61" spans="2:19" ht="12.75">
      <c r="B61" s="2"/>
      <c r="C61" s="3" t="str">
        <f>IF(N57&gt;O57,B60,B62)</f>
        <v>Smékal</v>
      </c>
      <c r="D61" s="2"/>
      <c r="G61" s="6" t="str">
        <f>C57</f>
        <v>Vrána</v>
      </c>
      <c r="H61" s="7" t="str">
        <f>C61</f>
        <v>Smékal</v>
      </c>
      <c r="I61" s="54">
        <v>6</v>
      </c>
      <c r="J61" s="54">
        <v>-9</v>
      </c>
      <c r="K61" s="54">
        <v>-6</v>
      </c>
      <c r="L61" s="54">
        <v>7</v>
      </c>
      <c r="M61" s="54">
        <v>-7</v>
      </c>
      <c r="N61" s="7">
        <f t="shared" si="5"/>
        <v>2</v>
      </c>
      <c r="O61" s="8">
        <f t="shared" si="6"/>
        <v>3</v>
      </c>
      <c r="P61" t="str">
        <f t="shared" si="7"/>
        <v>3:2 (-6, 9, 6, -7, 7)</v>
      </c>
      <c r="Q61" t="str">
        <f t="shared" si="8"/>
        <v>Smékal</v>
      </c>
      <c r="R61">
        <f t="shared" si="9"/>
        <v>2</v>
      </c>
      <c r="S61">
        <f>IF(N61&gt;O61,VLOOKUP(H61,Seznam!$A$2:$B$21,2,FALSE),VLOOKUP('Finálová část'!G61,Seznam!$A$2:$B$21,2,FALSE))</f>
        <v>2</v>
      </c>
    </row>
    <row r="62" spans="1:19" ht="12.75">
      <c r="A62" s="30" t="s">
        <v>52</v>
      </c>
      <c r="B62" s="3" t="str">
        <f>'Základní část'!B34</f>
        <v>Smékal</v>
      </c>
      <c r="C62" s="34" t="str">
        <f>P57</f>
        <v>3:0 (7, 9, 11)</v>
      </c>
      <c r="D62" s="2"/>
      <c r="G62" s="9" t="str">
        <f>C65</f>
        <v>Mottl</v>
      </c>
      <c r="H62" s="4" t="str">
        <f>C69</f>
        <v>Holinková</v>
      </c>
      <c r="I62" s="55">
        <v>-5</v>
      </c>
      <c r="J62" s="55">
        <v>-11</v>
      </c>
      <c r="K62" s="55">
        <v>-9</v>
      </c>
      <c r="L62" s="55"/>
      <c r="M62" s="55"/>
      <c r="N62" s="4">
        <f t="shared" si="5"/>
        <v>0</v>
      </c>
      <c r="O62" s="10">
        <f t="shared" si="6"/>
        <v>3</v>
      </c>
      <c r="P62" t="str">
        <f t="shared" si="7"/>
        <v>3:0 (5, 11, 9)</v>
      </c>
      <c r="Q62" t="str">
        <f t="shared" si="8"/>
        <v>Holinková</v>
      </c>
      <c r="R62">
        <f t="shared" si="9"/>
        <v>0</v>
      </c>
      <c r="S62">
        <f>IF(N62&gt;O62,VLOOKUP(H62,Seznam!$A$2:$B$21,2,FALSE),VLOOKUP('Finálová část'!G62,Seznam!$A$2:$B$21,2,FALSE))</f>
        <v>0</v>
      </c>
    </row>
    <row r="63" spans="4:19" ht="12.75">
      <c r="D63" s="2"/>
      <c r="E63" s="1" t="str">
        <f>IF(N66&gt;O66,D59,D67)</f>
        <v>Holinková</v>
      </c>
      <c r="G63" s="9" t="str">
        <f>C76</f>
        <v>Sosnovcová</v>
      </c>
      <c r="H63" s="4" t="str">
        <f>C78</f>
        <v>Zajakov</v>
      </c>
      <c r="I63" s="55">
        <v>-4</v>
      </c>
      <c r="J63" s="55">
        <v>-5</v>
      </c>
      <c r="K63" s="55">
        <v>-11</v>
      </c>
      <c r="L63" s="55"/>
      <c r="M63" s="55"/>
      <c r="N63" s="4">
        <f t="shared" si="5"/>
        <v>0</v>
      </c>
      <c r="O63" s="10">
        <f t="shared" si="6"/>
        <v>3</v>
      </c>
      <c r="P63" t="str">
        <f t="shared" si="7"/>
        <v>3:0 (4, 5, 11)</v>
      </c>
      <c r="Q63" t="str">
        <f t="shared" si="8"/>
        <v>Zajakov</v>
      </c>
      <c r="R63">
        <f t="shared" si="9"/>
        <v>1</v>
      </c>
      <c r="S63">
        <f>IF(N63&gt;O63,VLOOKUP(H63,Seznam!$A$2:$B$21,2,FALSE),VLOOKUP('Finálová část'!G63,Seznam!$A$2:$B$21,2,FALSE))</f>
        <v>1</v>
      </c>
    </row>
    <row r="64" spans="1:19" ht="13.5" thickBot="1">
      <c r="A64" s="30" t="s">
        <v>53</v>
      </c>
      <c r="B64" s="1" t="str">
        <f>'Základní část'!B16</f>
        <v>Šašinka</v>
      </c>
      <c r="D64" s="2"/>
      <c r="E64" s="34" t="str">
        <f>P66</f>
        <v>3:1 (5, 5, -6, 7)</v>
      </c>
      <c r="G64" s="11" t="str">
        <f>C80</f>
        <v>Šašinka</v>
      </c>
      <c r="H64" s="12" t="str">
        <f>C82</f>
        <v>Pipek</v>
      </c>
      <c r="I64" s="56">
        <v>9</v>
      </c>
      <c r="J64" s="56">
        <v>2</v>
      </c>
      <c r="K64" s="56">
        <v>6</v>
      </c>
      <c r="L64" s="56"/>
      <c r="M64" s="56"/>
      <c r="N64" s="12">
        <f t="shared" si="5"/>
        <v>3</v>
      </c>
      <c r="O64" s="13">
        <f t="shared" si="6"/>
        <v>0</v>
      </c>
      <c r="P64" t="str">
        <f aca="true" t="shared" si="10" ref="P64:P69">IF(N64&gt;O64,CONCATENATE(N64,":",O64," (",I64,IF(J64&lt;&gt;"",CONCATENATE(", ",J64),""),IF(K64&lt;&gt;"",CONCATENATE(", ",K64),""),IF(L64&lt;&gt;"",CONCATENATE(", ",L64),""),IF(M64&lt;&gt;"",CONCATENATE(", ",M64),""),")"),CONCATENATE(O64,":",N64," (",IF(I64="WO","WO",-I64),IF(J64&lt;&gt;"",CONCATENATE(", ",-J64),""),IF(K64&lt;&gt;"",CONCATENATE(", ",-K64),""),IF(L64&lt;&gt;"",CONCATENATE(", ",-L64),""),IF(M64&lt;&gt;"",CONCATENATE(", ",-M64),""),")"))</f>
        <v>3:0 (9, 2, 6)</v>
      </c>
      <c r="Q64" t="str">
        <f aca="true" t="shared" si="11" ref="Q64:Q69">IF(N64&gt;O64,G64,H64)</f>
        <v>Šašinka</v>
      </c>
      <c r="R64">
        <f t="shared" si="9"/>
        <v>0</v>
      </c>
      <c r="S64">
        <f>IF(N64&gt;O64,VLOOKUP(H64,Seznam!$A$2:$B$21,2,FALSE),VLOOKUP('Finálová část'!G64,Seznam!$A$2:$B$21,2,FALSE))</f>
        <v>0</v>
      </c>
    </row>
    <row r="65" spans="2:15" ht="13.5" thickBot="1">
      <c r="B65" s="2"/>
      <c r="C65" s="1" t="str">
        <f>IF(N58&gt;O58,B64,B66)</f>
        <v>Mottl</v>
      </c>
      <c r="D65" s="2"/>
      <c r="N65" s="5"/>
      <c r="O65" s="5"/>
    </row>
    <row r="66" spans="1:19" ht="12.75">
      <c r="A66" s="30" t="s">
        <v>54</v>
      </c>
      <c r="B66" s="3" t="str">
        <f>IF(N15&lt;O15,B14,B16)</f>
        <v>Mottl</v>
      </c>
      <c r="C66" s="35" t="str">
        <f>P58</f>
        <v>3:1 (8, 7, -9, 6)</v>
      </c>
      <c r="D66" s="2"/>
      <c r="G66" s="6" t="str">
        <f>D59</f>
        <v>Smékal</v>
      </c>
      <c r="H66" s="7" t="str">
        <f>D67</f>
        <v>Holinková</v>
      </c>
      <c r="I66" s="54">
        <v>-5</v>
      </c>
      <c r="J66" s="54">
        <v>-5</v>
      </c>
      <c r="K66" s="54">
        <v>6</v>
      </c>
      <c r="L66" s="54">
        <v>-7</v>
      </c>
      <c r="M66" s="54"/>
      <c r="N66" s="7">
        <f t="shared" si="5"/>
        <v>1</v>
      </c>
      <c r="O66" s="8">
        <f t="shared" si="6"/>
        <v>3</v>
      </c>
      <c r="P66" t="str">
        <f t="shared" si="10"/>
        <v>3:1 (5, 5, -6, 7)</v>
      </c>
      <c r="Q66" t="str">
        <f t="shared" si="11"/>
        <v>Holinková</v>
      </c>
      <c r="R66">
        <f>IF(I66&lt;&gt;"WO",S66,0)</f>
        <v>3</v>
      </c>
      <c r="S66">
        <f>IF(N66&gt;O66,VLOOKUP(H66,Seznam!$A$2:$B$21,2,FALSE),VLOOKUP('Finálová část'!G66,Seznam!$A$2:$B$21,2,FALSE))</f>
        <v>3</v>
      </c>
    </row>
    <row r="67" spans="3:19" ht="12.75">
      <c r="C67" s="2"/>
      <c r="D67" s="3" t="str">
        <f>IF(N62&gt;O62,C65,C69)</f>
        <v>Holinková</v>
      </c>
      <c r="G67" s="9" t="str">
        <f>D72</f>
        <v>Vrána</v>
      </c>
      <c r="H67" s="4" t="str">
        <f>D74</f>
        <v>Mottl</v>
      </c>
      <c r="I67" s="55">
        <v>-7</v>
      </c>
      <c r="J67" s="55">
        <v>8</v>
      </c>
      <c r="K67" s="55">
        <v>8</v>
      </c>
      <c r="L67" s="55">
        <v>-5</v>
      </c>
      <c r="M67" s="55">
        <v>-8</v>
      </c>
      <c r="N67" s="4">
        <f t="shared" si="5"/>
        <v>2</v>
      </c>
      <c r="O67" s="10">
        <f t="shared" si="6"/>
        <v>3</v>
      </c>
      <c r="P67" t="str">
        <f t="shared" si="10"/>
        <v>3:2 (7, -8, -8, 5, 8)</v>
      </c>
      <c r="Q67" t="str">
        <f t="shared" si="11"/>
        <v>Mottl</v>
      </c>
      <c r="R67">
        <f>IF(I67&lt;&gt;"WO",S67,0)</f>
        <v>2</v>
      </c>
      <c r="S67">
        <f>IF(N67&gt;O67,VLOOKUP(H67,Seznam!$A$2:$B$21,2,FALSE),VLOOKUP('Finálová část'!G67,Seznam!$A$2:$B$21,2,FALSE))</f>
        <v>2</v>
      </c>
    </row>
    <row r="68" spans="1:19" ht="12.75">
      <c r="A68" s="30" t="s">
        <v>35</v>
      </c>
      <c r="B68" s="1" t="str">
        <f>B6</f>
        <v>Pipek</v>
      </c>
      <c r="C68" s="2"/>
      <c r="D68" s="34" t="str">
        <f>P62</f>
        <v>3:0 (5, 11, 9)</v>
      </c>
      <c r="G68" s="9" t="str">
        <f>D77</f>
        <v>Zajakov</v>
      </c>
      <c r="H68" s="4" t="str">
        <f>D81</f>
        <v>Šašinka</v>
      </c>
      <c r="I68" s="55">
        <v>9</v>
      </c>
      <c r="J68" s="55">
        <v>10</v>
      </c>
      <c r="K68" s="55">
        <v>5</v>
      </c>
      <c r="L68" s="55"/>
      <c r="M68" s="55"/>
      <c r="N68" s="4">
        <f t="shared" si="5"/>
        <v>3</v>
      </c>
      <c r="O68" s="10">
        <f t="shared" si="6"/>
        <v>0</v>
      </c>
      <c r="P68" t="str">
        <f t="shared" si="10"/>
        <v>3:0 (9, 10, 5)</v>
      </c>
      <c r="Q68" t="str">
        <f t="shared" si="11"/>
        <v>Zajakov</v>
      </c>
      <c r="R68">
        <f>IF(I68&lt;&gt;"WO",S68,0)</f>
        <v>2</v>
      </c>
      <c r="S68">
        <f>IF(N68&gt;O68,VLOOKUP(H68,Seznam!$A$2:$B$21,2,FALSE),VLOOKUP('Finálová část'!G68,Seznam!$A$2:$B$21,2,FALSE))</f>
        <v>2</v>
      </c>
    </row>
    <row r="69" spans="2:19" ht="13.5" thickBot="1">
      <c r="B69" s="2"/>
      <c r="C69" s="3" t="str">
        <f>IF(N59&gt;O59,B68,B70)</f>
        <v>Holinková</v>
      </c>
      <c r="G69" s="11" t="str">
        <f>D84</f>
        <v>Sosnovcová</v>
      </c>
      <c r="H69" s="12" t="str">
        <f>D86</f>
        <v>Pipek</v>
      </c>
      <c r="I69" s="56">
        <v>6</v>
      </c>
      <c r="J69" s="56">
        <v>7</v>
      </c>
      <c r="K69" s="56">
        <v>-9</v>
      </c>
      <c r="L69" s="56">
        <v>3</v>
      </c>
      <c r="M69" s="56"/>
      <c r="N69" s="12">
        <f t="shared" si="5"/>
        <v>3</v>
      </c>
      <c r="O69" s="13">
        <f t="shared" si="6"/>
        <v>1</v>
      </c>
      <c r="P69" t="str">
        <f t="shared" si="10"/>
        <v>3:1 (6, 7, -9, 3)</v>
      </c>
      <c r="Q69" t="str">
        <f t="shared" si="11"/>
        <v>Sosnovcová</v>
      </c>
      <c r="R69">
        <f>IF(I69&lt;&gt;"WO",S69,0)</f>
        <v>0</v>
      </c>
      <c r="S69">
        <f>IF(N69&gt;O69,VLOOKUP(H69,Seznam!$A$2:$B$21,2,FALSE),VLOOKUP('Finálová část'!G69,Seznam!$A$2:$B$21,2,FALSE))</f>
        <v>0</v>
      </c>
    </row>
    <row r="70" spans="1:15" ht="12.75">
      <c r="A70" s="30" t="s">
        <v>55</v>
      </c>
      <c r="B70" s="3" t="str">
        <f>'Základní část'!B33</f>
        <v>Holinková</v>
      </c>
      <c r="C70" s="34" t="str">
        <f>P59</f>
        <v>3:0 (4, 6, 3)</v>
      </c>
      <c r="N70" s="5"/>
      <c r="O70" s="5"/>
    </row>
    <row r="71" spans="14:15" ht="12.75">
      <c r="N71" s="5"/>
      <c r="O71" s="5"/>
    </row>
    <row r="72" spans="4:15" ht="12.75">
      <c r="D72" s="1" t="str">
        <f>IF(N61&lt;O61,C57,C61)</f>
        <v>Vrána</v>
      </c>
      <c r="N72" s="5"/>
      <c r="O72" s="5"/>
    </row>
    <row r="73" spans="4:15" ht="12.75">
      <c r="D73" s="2"/>
      <c r="E73" s="1" t="str">
        <f>IF(N67&gt;O67,D72,D74)</f>
        <v>Mottl</v>
      </c>
      <c r="N73" s="5"/>
      <c r="O73" s="5"/>
    </row>
    <row r="74" spans="4:15" ht="12.75">
      <c r="D74" s="3" t="str">
        <f>IF(N62&lt;O62,C65,C69)</f>
        <v>Mottl</v>
      </c>
      <c r="E74" s="34" t="str">
        <f>P67</f>
        <v>3:2 (7, -8, -8, 5, 8)</v>
      </c>
      <c r="N74" s="5"/>
      <c r="O74" s="5"/>
    </row>
    <row r="75" spans="14:15" ht="12.75">
      <c r="N75" s="5"/>
      <c r="O75" s="5"/>
    </row>
    <row r="76" spans="3:15" ht="12.75">
      <c r="C76" s="1" t="str">
        <f>IF(N56&lt;O56,B56,B58)</f>
        <v>Sosnovcová</v>
      </c>
      <c r="N76" s="5"/>
      <c r="O76" s="5"/>
    </row>
    <row r="77" spans="3:15" ht="12.75">
      <c r="C77" s="2"/>
      <c r="D77" s="1" t="str">
        <f>IF(N63&gt;O63,C76,C78)</f>
        <v>Zajakov</v>
      </c>
      <c r="N77" s="5"/>
      <c r="O77" s="5"/>
    </row>
    <row r="78" spans="3:15" ht="12.75">
      <c r="C78" s="3" t="str">
        <f>IF(N57&lt;O57,B60,B62)</f>
        <v>Zajakov</v>
      </c>
      <c r="D78" s="35" t="str">
        <f>P63</f>
        <v>3:0 (4, 5, 11)</v>
      </c>
      <c r="N78" s="5"/>
      <c r="O78" s="5"/>
    </row>
    <row r="79" spans="4:15" ht="12.75">
      <c r="D79" s="2"/>
      <c r="E79" s="1" t="str">
        <f>IF(N68&gt;O68,D77,D81)</f>
        <v>Zajakov</v>
      </c>
      <c r="F79" s="5"/>
      <c r="N79" s="5"/>
      <c r="O79" s="5"/>
    </row>
    <row r="80" spans="3:15" ht="12.75">
      <c r="C80" s="1" t="str">
        <f>IF(N58&lt;O58,B64,B66)</f>
        <v>Šašinka</v>
      </c>
      <c r="D80" s="2"/>
      <c r="E80" s="34" t="str">
        <f>P68</f>
        <v>3:0 (9, 10, 5)</v>
      </c>
      <c r="N80" s="5"/>
      <c r="O80" s="5"/>
    </row>
    <row r="81" spans="3:15" ht="12.75">
      <c r="C81" s="2"/>
      <c r="D81" s="3" t="str">
        <f>IF(N64&gt;O64,C80,C82)</f>
        <v>Šašinka</v>
      </c>
      <c r="N81" s="5"/>
      <c r="O81" s="5"/>
    </row>
    <row r="82" spans="3:15" ht="12.75">
      <c r="C82" s="3" t="str">
        <f>IF(N59&lt;O59,B68,B70)</f>
        <v>Pipek</v>
      </c>
      <c r="D82" s="34" t="str">
        <f>P64</f>
        <v>3:0 (9, 2, 6)</v>
      </c>
      <c r="N82" s="5"/>
      <c r="O82" s="5"/>
    </row>
    <row r="83" spans="14:15" ht="12.75">
      <c r="N83" s="5"/>
      <c r="O83" s="5"/>
    </row>
    <row r="84" spans="4:15" ht="12.75">
      <c r="D84" s="1" t="str">
        <f>IF(N63&lt;O63,C76,C78)</f>
        <v>Sosnovcová</v>
      </c>
      <c r="N84" s="5"/>
      <c r="O84" s="5"/>
    </row>
    <row r="85" spans="4:15" ht="12.75">
      <c r="D85" s="2"/>
      <c r="E85" s="1" t="str">
        <f>IF(N69&gt;O69,D84,D86)</f>
        <v>Sosnovcová</v>
      </c>
      <c r="N85" s="5"/>
      <c r="O85" s="5"/>
    </row>
    <row r="86" spans="4:15" ht="12.75">
      <c r="D86" s="3" t="str">
        <f>IF(N64&lt;O64,C80,C82)</f>
        <v>Pipek</v>
      </c>
      <c r="E86" s="34" t="str">
        <f>P69</f>
        <v>3:1 (6, 7, -9, 3)</v>
      </c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2:15" ht="13.5" thickBot="1">
      <c r="B90" s="30" t="s">
        <v>36</v>
      </c>
      <c r="C90" s="1" t="str">
        <f>B7</f>
        <v>Vörös</v>
      </c>
      <c r="N90" s="5"/>
      <c r="O90" s="5"/>
    </row>
    <row r="91" spans="2:19" ht="12.75">
      <c r="B91" s="30"/>
      <c r="C91" s="2"/>
      <c r="D91" s="1" t="str">
        <f>IF(N91&gt;O91,C90,C92)</f>
        <v>Vörös</v>
      </c>
      <c r="G91" s="6" t="str">
        <f>C90</f>
        <v>Vörös</v>
      </c>
      <c r="H91" s="7" t="str">
        <f>C92</f>
        <v>Arientová E.</v>
      </c>
      <c r="I91" s="54">
        <v>9</v>
      </c>
      <c r="J91" s="54">
        <v>-9</v>
      </c>
      <c r="K91" s="54">
        <v>-10</v>
      </c>
      <c r="L91" s="54">
        <v>8</v>
      </c>
      <c r="M91" s="54">
        <v>10</v>
      </c>
      <c r="N91" s="7">
        <f>IF(I91&gt;0,1,0)+IF(J91&gt;0,1,0)+IF(K91&gt;0,1,0)+IF(L91&gt;0,1,0)+IF(M91&gt;0,1,0)</f>
        <v>3</v>
      </c>
      <c r="O91" s="8">
        <f>IF(I91&lt;0,1,0)+IF(J91&lt;0,1,0)+IF(K91&lt;0,1,0)+IF(L91&lt;0,1,0)+IF(M91&lt;0,1,0)</f>
        <v>2</v>
      </c>
      <c r="P91" t="str">
        <f>IF(N91&gt;O91,CONCATENATE(N91,":",O91," (",I91,IF(J91&lt;&gt;"",CONCATENATE(", ",J91),""),IF(K91&lt;&gt;"",CONCATENATE(", ",K91),""),IF(L91&lt;&gt;"",CONCATENATE(", ",L91),""),IF(M91&lt;&gt;"",CONCATENATE(", ",M91),""),")"),CONCATENATE(O91,":",N91," (",IF(I91="WO","WO",-I91),IF(J91&lt;&gt;"",CONCATENATE(", ",-J91),""),IF(K91&lt;&gt;"",CONCATENATE(", ",-K91),""),IF(L91&lt;&gt;"",CONCATENATE(", ",-L91),""),IF(M91&lt;&gt;"",CONCATENATE(", ",-M91),""),")"))</f>
        <v>3:2 (9, -9, -10, 8, 10)</v>
      </c>
      <c r="Q91" t="str">
        <f>IF(N91&gt;O91,G91,H91)</f>
        <v>Vörös</v>
      </c>
      <c r="R91">
        <f>IF(I91&lt;&gt;"WO",S91,0)</f>
        <v>0</v>
      </c>
      <c r="S91">
        <f>IF(N91&gt;O91,VLOOKUP(H91,Seznam!$A$2:$B$21,2,FALSE),VLOOKUP('Finálová část'!G91,Seznam!$A$2:$B$21,2,FALSE))</f>
        <v>0</v>
      </c>
    </row>
    <row r="92" spans="2:19" ht="12.75">
      <c r="B92" s="30" t="s">
        <v>37</v>
      </c>
      <c r="C92" s="3" t="str">
        <f>B8</f>
        <v>Arientová E.</v>
      </c>
      <c r="D92" s="35" t="str">
        <f>P91</f>
        <v>3:2 (9, -9, -10, 8, 10)</v>
      </c>
      <c r="G92" s="9" t="str">
        <f>C94</f>
        <v>Líbal T.</v>
      </c>
      <c r="H92" s="4" t="str">
        <f>C96</f>
        <v>Bárta M.</v>
      </c>
      <c r="I92" s="55">
        <v>-9</v>
      </c>
      <c r="J92" s="55">
        <v>12</v>
      </c>
      <c r="K92" s="55">
        <v>-6</v>
      </c>
      <c r="L92" s="55">
        <v>-4</v>
      </c>
      <c r="M92" s="55"/>
      <c r="N92" s="84">
        <f>IF(I92&gt;0,1,0)+IF(J92&gt;0,1,0)+IF(K92&gt;0,1,0)+IF(L92&gt;0,1,0)+IF(M92&gt;0,1,0)</f>
        <v>1</v>
      </c>
      <c r="O92" s="10">
        <f>IF(I92&lt;0,1,0)+IF(J92&lt;0,1,0)+IF(K92&lt;0,1,0)+IF(L92&lt;0,1,0)+IF(M92&lt;0,1,0)</f>
        <v>3</v>
      </c>
      <c r="P92" t="str">
        <f>IF(N92&gt;O92,CONCATENATE(N92,":",O92," (",I92,IF(J92&lt;&gt;"",CONCATENATE(", ",J92),""),IF(K92&lt;&gt;"",CONCATENATE(", ",K92),""),IF(L92&lt;&gt;"",CONCATENATE(", ",L92),""),IF(M92&lt;&gt;"",CONCATENATE(", ",M92),""),")"),CONCATENATE(O92,":",N92," (",IF(I92="WO","WO",-I92),IF(J92&lt;&gt;"",CONCATENATE(", ",-J92),""),IF(K92&lt;&gt;"",CONCATENATE(", ",-K92),""),IF(L92&lt;&gt;"",CONCATENATE(", ",-L92),""),IF(M92&lt;&gt;"",CONCATENATE(", ",-M92),""),")"))</f>
        <v>3:1 (9, -12, 6, 4)</v>
      </c>
      <c r="Q92" t="str">
        <f>IF(N92&gt;O92,G92,H92)</f>
        <v>Bárta M.</v>
      </c>
      <c r="R92">
        <f>IF(I92&lt;&gt;"WO",S92,0)</f>
        <v>0</v>
      </c>
      <c r="S92">
        <f>IF(N92&gt;O92,VLOOKUP(H92,Seznam!$A$2:$B$21,2,FALSE),VLOOKUP('Finálová část'!G92,Seznam!$A$2:$B$21,2,FALSE))</f>
        <v>0</v>
      </c>
    </row>
    <row r="93" spans="2:19" ht="12.75">
      <c r="B93" s="30"/>
      <c r="D93" s="2"/>
      <c r="E93" s="1" t="str">
        <f>IF(N93&gt;O93,D91,D95)</f>
        <v>Bárta M.</v>
      </c>
      <c r="G93" s="9" t="str">
        <f>D91</f>
        <v>Vörös</v>
      </c>
      <c r="H93" s="4" t="str">
        <f>D95</f>
        <v>Bárta M.</v>
      </c>
      <c r="I93" s="55">
        <v>-6</v>
      </c>
      <c r="J93" s="55">
        <v>6</v>
      </c>
      <c r="K93" s="55">
        <v>-9</v>
      </c>
      <c r="L93" s="55">
        <v>-15</v>
      </c>
      <c r="M93" s="55"/>
      <c r="N93" s="84">
        <f>IF(I93&gt;0,1,0)+IF(J93&gt;0,1,0)+IF(K93&gt;0,1,0)+IF(L93&gt;0,1,0)+IF(M93&gt;0,1,0)</f>
        <v>1</v>
      </c>
      <c r="O93" s="10">
        <f>IF(I93&lt;0,1,0)+IF(J93&lt;0,1,0)+IF(K93&lt;0,1,0)+IF(L93&lt;0,1,0)+IF(M93&lt;0,1,0)</f>
        <v>3</v>
      </c>
      <c r="P93" t="str">
        <f>IF(N93&gt;O93,CONCATENATE(N93,":",O93," (",I93,IF(J93&lt;&gt;"",CONCATENATE(", ",J93),""),IF(K93&lt;&gt;"",CONCATENATE(", ",K93),""),IF(L93&lt;&gt;"",CONCATENATE(", ",L93),""),IF(M93&lt;&gt;"",CONCATENATE(", ",M93),""),")"),CONCATENATE(O93,":",N93," (",IF(I93="WO","WO",-I93),IF(J93&lt;&gt;"",CONCATENATE(", ",-J93),""),IF(K93&lt;&gt;"",CONCATENATE(", ",-K93),""),IF(L93&lt;&gt;"",CONCATENATE(", ",-L93),""),IF(M93&lt;&gt;"",CONCATENATE(", ",-M93),""),")"))</f>
        <v>3:1 (6, -6, 9, 15)</v>
      </c>
      <c r="Q93" t="str">
        <f>IF(N93&gt;O93,G93,H93)</f>
        <v>Bárta M.</v>
      </c>
      <c r="R93">
        <f>IF(I93&lt;&gt;"WO",S93,0)</f>
        <v>0</v>
      </c>
      <c r="S93">
        <f>IF(N93&gt;O93,VLOOKUP(H93,Seznam!$A$2:$B$21,2,FALSE),VLOOKUP('Finálová část'!G93,Seznam!$A$2:$B$21,2,FALSE))</f>
        <v>0</v>
      </c>
    </row>
    <row r="94" spans="2:19" ht="13.5" thickBot="1">
      <c r="B94" s="30" t="s">
        <v>38</v>
      </c>
      <c r="C94" s="1" t="str">
        <f>B9</f>
        <v>Líbal T.</v>
      </c>
      <c r="D94" s="2"/>
      <c r="E94" s="34" t="str">
        <f>P93</f>
        <v>3:1 (6, -6, 9, 15)</v>
      </c>
      <c r="G94" s="11" t="str">
        <f>D98</f>
        <v>Arientová E.</v>
      </c>
      <c r="H94" s="12" t="str">
        <f>D100</f>
        <v>Líbal T.</v>
      </c>
      <c r="I94" s="56">
        <v>-6</v>
      </c>
      <c r="J94" s="56">
        <v>-11</v>
      </c>
      <c r="K94" s="56">
        <v>-3</v>
      </c>
      <c r="L94" s="56"/>
      <c r="M94" s="56"/>
      <c r="N94" s="12">
        <f>IF(I94&gt;0,1,0)+IF(J94&gt;0,1,0)+IF(K94&gt;0,1,0)+IF(L94&gt;0,1,0)+IF(M94&gt;0,1,0)</f>
        <v>0</v>
      </c>
      <c r="O94" s="13">
        <f>IF(I94&lt;0,1,0)+IF(J94&lt;0,1,0)+IF(K94&lt;0,1,0)+IF(L94&lt;0,1,0)+IF(M94&lt;0,1,0)</f>
        <v>3</v>
      </c>
      <c r="P94" t="str">
        <f>IF(N94&gt;O94,CONCATENATE(N94,":",O94," (",I94,IF(J94&lt;&gt;"",CONCATENATE(", ",J94),""),IF(K94&lt;&gt;"",CONCATENATE(", ",K94),""),IF(L94&lt;&gt;"",CONCATENATE(", ",L94),""),IF(M94&lt;&gt;"",CONCATENATE(", ",M94),""),")"),CONCATENATE(O94,":",N94," (",IF(I94="WO","WO",-I94),IF(J94&lt;&gt;"",CONCATENATE(", ",-J94),""),IF(K94&lt;&gt;"",CONCATENATE(", ",-K94),""),IF(L94&lt;&gt;"",CONCATENATE(", ",-L94),""),IF(M94&lt;&gt;"",CONCATENATE(", ",-M94),""),")"))</f>
        <v>3:0 (6, 11, 3)</v>
      </c>
      <c r="Q94" t="str">
        <f>IF(N94&gt;O94,G94,H94)</f>
        <v>Líbal T.</v>
      </c>
      <c r="R94">
        <f>IF(I94&lt;&gt;"WO",S94,0)</f>
        <v>0</v>
      </c>
      <c r="S94">
        <f>IF(N94&gt;O94,VLOOKUP(H94,Seznam!$A$2:$B$21,2,FALSE),VLOOKUP('Finálová část'!G94,Seznam!$A$2:$B$21,2,FALSE))</f>
        <v>0</v>
      </c>
    </row>
    <row r="95" spans="2:4" ht="12.75">
      <c r="B95" s="30"/>
      <c r="C95" s="2"/>
      <c r="D95" s="3" t="str">
        <f>IF(N92&gt;O92,C94,C96)</f>
        <v>Bárta M.</v>
      </c>
    </row>
    <row r="96" spans="2:4" ht="12.75">
      <c r="B96" s="30" t="s">
        <v>39</v>
      </c>
      <c r="C96" s="3" t="str">
        <f>B10</f>
        <v>Bárta M.</v>
      </c>
      <c r="D96" s="34" t="str">
        <f>P92</f>
        <v>3:1 (9, -12, 6, 4)</v>
      </c>
    </row>
    <row r="98" ht="12.75">
      <c r="D98" s="1" t="str">
        <f>IF(N91&lt;O91,C90,C92)</f>
        <v>Arientová E.</v>
      </c>
    </row>
    <row r="99" spans="4:5" ht="12.75">
      <c r="D99" s="2"/>
      <c r="E99" s="1" t="str">
        <f>IF(N94&gt;O94,D98,D100)</f>
        <v>Líbal T.</v>
      </c>
    </row>
    <row r="100" spans="4:5" ht="12.75">
      <c r="D100" s="3" t="str">
        <f>IF(N92&lt;O92,C94,C96)</f>
        <v>Líbal T.</v>
      </c>
      <c r="E100" s="34" t="str">
        <f>P94</f>
        <v>3:0 (6, 11, 3)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6">
      <selection activeCell="C11" sqref="C11"/>
    </sheetView>
  </sheetViews>
  <sheetFormatPr defaultColWidth="9.00390625" defaultRowHeight="12.75"/>
  <cols>
    <col min="1" max="1" width="12.375" style="0" customWidth="1"/>
    <col min="2" max="2" width="9.125" style="18" customWidth="1"/>
    <col min="3" max="3" width="19.125" style="0" customWidth="1"/>
    <col min="4" max="4" width="9.125" style="44" customWidth="1"/>
    <col min="5" max="5" width="21.125" style="0" customWidth="1"/>
  </cols>
  <sheetData>
    <row r="1" spans="1:5" s="33" customFormat="1" ht="12.75">
      <c r="A1" s="33" t="s">
        <v>56</v>
      </c>
      <c r="B1" s="42" t="s">
        <v>57</v>
      </c>
      <c r="C1" s="33" t="s">
        <v>58</v>
      </c>
      <c r="D1" s="43" t="s">
        <v>59</v>
      </c>
      <c r="E1" s="33" t="s">
        <v>60</v>
      </c>
    </row>
    <row r="2" spans="1:5" ht="12.75">
      <c r="A2" t="str">
        <f>'Základní část'!B4</f>
        <v>Šašinka</v>
      </c>
      <c r="B2" s="47">
        <v>2</v>
      </c>
      <c r="C2" s="48" t="s">
        <v>166</v>
      </c>
      <c r="D2" s="49">
        <v>32264</v>
      </c>
      <c r="E2" s="48" t="s">
        <v>75</v>
      </c>
    </row>
    <row r="3" spans="1:5" ht="12.75">
      <c r="A3" t="str">
        <f>'Základní část'!B5</f>
        <v>Choutka</v>
      </c>
      <c r="B3" s="47">
        <v>4</v>
      </c>
      <c r="C3" s="48" t="s">
        <v>167</v>
      </c>
      <c r="D3" s="49">
        <v>33055</v>
      </c>
      <c r="E3" s="48" t="s">
        <v>178</v>
      </c>
    </row>
    <row r="4" spans="1:5" ht="12.75">
      <c r="A4" t="str">
        <f>'Základní část'!B6</f>
        <v>Trmal</v>
      </c>
      <c r="B4" s="47">
        <v>5</v>
      </c>
      <c r="C4" s="48" t="s">
        <v>169</v>
      </c>
      <c r="D4" s="49">
        <v>32448</v>
      </c>
      <c r="E4" s="48" t="s">
        <v>179</v>
      </c>
    </row>
    <row r="5" spans="1:5" ht="12.75">
      <c r="A5" t="str">
        <f>'Základní část'!B7</f>
        <v>Vrána</v>
      </c>
      <c r="B5" s="47">
        <v>2</v>
      </c>
      <c r="C5" s="48" t="s">
        <v>168</v>
      </c>
      <c r="D5" s="49">
        <v>32843</v>
      </c>
      <c r="E5" s="48" t="s">
        <v>77</v>
      </c>
    </row>
    <row r="6" spans="1:5" ht="12.75">
      <c r="A6" t="str">
        <f>'Základní část'!B8</f>
        <v>Václ</v>
      </c>
      <c r="B6" s="47">
        <v>4</v>
      </c>
      <c r="C6" s="48" t="s">
        <v>170</v>
      </c>
      <c r="D6" s="49">
        <v>32295</v>
      </c>
      <c r="E6" s="48" t="s">
        <v>74</v>
      </c>
    </row>
    <row r="7" spans="1:5" ht="12.75">
      <c r="A7" t="str">
        <f>'Základní část'!B9</f>
        <v>Herout</v>
      </c>
      <c r="B7" s="47">
        <v>5</v>
      </c>
      <c r="C7" s="48" t="s">
        <v>171</v>
      </c>
      <c r="D7" s="49">
        <v>33025</v>
      </c>
      <c r="E7" s="48" t="s">
        <v>177</v>
      </c>
    </row>
    <row r="8" spans="1:5" ht="12.75">
      <c r="A8" t="str">
        <f>'Základní část'!B22</f>
        <v>Němec</v>
      </c>
      <c r="B8" s="47">
        <v>3</v>
      </c>
      <c r="C8" s="48" t="s">
        <v>172</v>
      </c>
      <c r="D8" s="49">
        <v>33329</v>
      </c>
      <c r="E8" s="48" t="s">
        <v>177</v>
      </c>
    </row>
    <row r="9" spans="1:5" ht="12.75">
      <c r="A9" t="str">
        <f>'Základní část'!B23</f>
        <v>Smékal</v>
      </c>
      <c r="B9" s="47">
        <v>3</v>
      </c>
      <c r="C9" s="48" t="s">
        <v>173</v>
      </c>
      <c r="D9" s="49">
        <v>32721</v>
      </c>
      <c r="E9" s="48" t="s">
        <v>77</v>
      </c>
    </row>
    <row r="10" spans="1:5" ht="12.75">
      <c r="A10" t="str">
        <f>'Základní část'!B24</f>
        <v>Choutková</v>
      </c>
      <c r="B10" s="47">
        <v>4</v>
      </c>
      <c r="C10" s="48" t="s">
        <v>203</v>
      </c>
      <c r="D10" s="49">
        <v>32325</v>
      </c>
      <c r="E10" s="48" t="s">
        <v>74</v>
      </c>
    </row>
    <row r="11" spans="1:5" ht="12.75">
      <c r="A11" t="str">
        <f>'Základní část'!B25</f>
        <v>Holinková</v>
      </c>
      <c r="B11" s="47">
        <v>3</v>
      </c>
      <c r="C11" s="48" t="s">
        <v>174</v>
      </c>
      <c r="D11" s="49">
        <v>33239</v>
      </c>
      <c r="E11" s="48" t="s">
        <v>74</v>
      </c>
    </row>
    <row r="12" spans="1:5" ht="12.75">
      <c r="A12" t="str">
        <f>'Základní část'!B26</f>
        <v>Tůma</v>
      </c>
      <c r="B12" s="47">
        <v>4</v>
      </c>
      <c r="C12" s="48" t="s">
        <v>175</v>
      </c>
      <c r="D12" s="49">
        <v>32629</v>
      </c>
      <c r="E12" s="48" t="s">
        <v>178</v>
      </c>
    </row>
    <row r="13" spans="1:5" ht="12.75">
      <c r="A13" t="str">
        <f>'Základní část'!B27</f>
        <v>Gregor</v>
      </c>
      <c r="B13" s="47">
        <v>5</v>
      </c>
      <c r="C13" s="48" t="s">
        <v>176</v>
      </c>
      <c r="D13" s="49">
        <v>32874</v>
      </c>
      <c r="E13" s="48" t="s">
        <v>179</v>
      </c>
    </row>
    <row r="14" spans="1:5" ht="12.75">
      <c r="A14" t="str">
        <f>'Finálová část'!B3</f>
        <v>Mottl</v>
      </c>
      <c r="B14" s="47"/>
      <c r="C14" s="48" t="s">
        <v>190</v>
      </c>
      <c r="D14" s="49">
        <v>32599</v>
      </c>
      <c r="E14" s="48" t="s">
        <v>192</v>
      </c>
    </row>
    <row r="15" spans="1:5" ht="12.75">
      <c r="A15" t="str">
        <f>'Finálová část'!B4</f>
        <v>Zajakov</v>
      </c>
      <c r="B15" s="47">
        <v>1</v>
      </c>
      <c r="C15" s="48" t="s">
        <v>191</v>
      </c>
      <c r="D15" s="49">
        <v>32964</v>
      </c>
      <c r="E15" s="48" t="s">
        <v>75</v>
      </c>
    </row>
    <row r="16" spans="1:5" ht="12.75">
      <c r="A16" t="str">
        <f>'Finálová část'!B5</f>
        <v>Sosnovcová</v>
      </c>
      <c r="B16" s="47">
        <v>1</v>
      </c>
      <c r="C16" s="48" t="s">
        <v>195</v>
      </c>
      <c r="D16" s="49">
        <v>32964</v>
      </c>
      <c r="E16" s="48" t="s">
        <v>74</v>
      </c>
    </row>
    <row r="17" spans="1:5" ht="12.75">
      <c r="A17" t="str">
        <f>'Finálová část'!B6</f>
        <v>Pipek</v>
      </c>
      <c r="B17" s="47"/>
      <c r="C17" s="48" t="s">
        <v>196</v>
      </c>
      <c r="D17" s="49">
        <v>34366</v>
      </c>
      <c r="E17" s="48" t="s">
        <v>77</v>
      </c>
    </row>
    <row r="18" spans="1:5" ht="12.75">
      <c r="A18" t="str">
        <f>'Finálová část'!B7</f>
        <v>Vörös</v>
      </c>
      <c r="B18" s="47"/>
      <c r="C18" s="48" t="s">
        <v>183</v>
      </c>
      <c r="D18" s="49">
        <v>33390</v>
      </c>
      <c r="E18" s="48" t="s">
        <v>74</v>
      </c>
    </row>
    <row r="19" spans="1:5" ht="12.75">
      <c r="A19" t="str">
        <f>'Finálová část'!B8</f>
        <v>Arientová E.</v>
      </c>
      <c r="B19" s="47"/>
      <c r="C19" s="48" t="s">
        <v>184</v>
      </c>
      <c r="D19" s="49">
        <v>33482</v>
      </c>
      <c r="E19" s="48" t="s">
        <v>78</v>
      </c>
    </row>
    <row r="20" spans="1:5" ht="12.75">
      <c r="A20" t="str">
        <f>'Finálová část'!B9</f>
        <v>Líbal T.</v>
      </c>
      <c r="B20" s="47"/>
      <c r="C20" s="48" t="s">
        <v>185</v>
      </c>
      <c r="D20" s="49">
        <v>33178</v>
      </c>
      <c r="E20" s="48" t="s">
        <v>74</v>
      </c>
    </row>
    <row r="21" spans="1:5" ht="12.75">
      <c r="A21" t="str">
        <f>'Finálová část'!B10</f>
        <v>Bárta M.</v>
      </c>
      <c r="B21" s="47">
        <v>1</v>
      </c>
      <c r="C21" s="48" t="s">
        <v>189</v>
      </c>
      <c r="D21" s="49">
        <v>33390</v>
      </c>
      <c r="E21" s="48" t="s">
        <v>74</v>
      </c>
    </row>
    <row r="22" spans="2:4" ht="12.75">
      <c r="B22"/>
      <c r="D22"/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J24" sqref="J24"/>
    </sheetView>
  </sheetViews>
  <sheetFormatPr defaultColWidth="9.00390625" defaultRowHeight="12.75"/>
  <cols>
    <col min="2" max="2" width="3.125" style="0" customWidth="1"/>
    <col min="4" max="4" width="3.125" style="0" customWidth="1"/>
    <col min="6" max="6" width="3.125" style="0" customWidth="1"/>
    <col min="8" max="8" width="3.125" style="0" customWidth="1"/>
    <col min="10" max="10" width="3.125" style="0" customWidth="1"/>
    <col min="12" max="12" width="3.125" style="0" customWidth="1"/>
    <col min="13" max="13" width="9.625" style="0" customWidth="1"/>
    <col min="14" max="14" width="3.125" style="0" customWidth="1"/>
  </cols>
  <sheetData>
    <row r="1" ht="12.75">
      <c r="O1" t="s">
        <v>61</v>
      </c>
    </row>
    <row r="2" spans="1:15" ht="12.75">
      <c r="A2" t="s">
        <v>3</v>
      </c>
      <c r="O2" t="s">
        <v>62</v>
      </c>
    </row>
    <row r="3" spans="1:15" ht="12.75">
      <c r="A3" t="str">
        <f>'Základní část'!B4</f>
        <v>Šašinka</v>
      </c>
      <c r="B3">
        <f>'Základní část'!I4</f>
        <v>5</v>
      </c>
      <c r="C3" t="str">
        <f>IF(B4&gt;B3,A4,A3)</f>
        <v>Choutka</v>
      </c>
      <c r="D3">
        <f>IF(B4&gt;B3,B4,B3)</f>
        <v>9</v>
      </c>
      <c r="E3" t="str">
        <f>C3</f>
        <v>Choutka</v>
      </c>
      <c r="F3">
        <f>D3</f>
        <v>9</v>
      </c>
      <c r="G3" t="str">
        <f>IF(F4&gt;F3,E4,E3)</f>
        <v>Trmal</v>
      </c>
      <c r="H3">
        <f>IF(F4&gt;F3,F4,F3)</f>
        <v>10</v>
      </c>
      <c r="I3" t="str">
        <f>G3</f>
        <v>Trmal</v>
      </c>
      <c r="J3">
        <f>H3</f>
        <v>10</v>
      </c>
      <c r="K3" t="str">
        <f>IF(J4&gt;J3,I4,I3)</f>
        <v>Trmal</v>
      </c>
      <c r="L3">
        <f>IF(J4&gt;J3,J4,J3)</f>
        <v>10</v>
      </c>
      <c r="M3" t="str">
        <f>K3</f>
        <v>Trmal</v>
      </c>
      <c r="N3">
        <f>L3</f>
        <v>10</v>
      </c>
      <c r="O3" t="str">
        <f>M3</f>
        <v>Trmal</v>
      </c>
    </row>
    <row r="4" spans="1:15" ht="12.75">
      <c r="A4" t="str">
        <f>'Základní část'!B5</f>
        <v>Choutka</v>
      </c>
      <c r="B4">
        <f>'Základní část'!I5</f>
        <v>9</v>
      </c>
      <c r="C4" t="str">
        <f>IF(A3=C3,A4,A3)</f>
        <v>Šašinka</v>
      </c>
      <c r="D4">
        <f>IF(B3=D3,B4,B3)</f>
        <v>5</v>
      </c>
      <c r="E4" t="str">
        <f>IF(D4&lt;D5,C5,C4)</f>
        <v>Trmal</v>
      </c>
      <c r="F4">
        <f>IF(D4&lt;D5,D5,D4)</f>
        <v>10</v>
      </c>
      <c r="G4" t="str">
        <f>IF(E3=G3,E4,E3)</f>
        <v>Choutka</v>
      </c>
      <c r="H4">
        <f>IF(F3=H3,F4,F3)</f>
        <v>9</v>
      </c>
      <c r="I4" t="str">
        <f>IF(H4&lt;H5,G5,G4)</f>
        <v>Choutka</v>
      </c>
      <c r="J4">
        <f>IF(H4&lt;H5,H5,H4)</f>
        <v>9</v>
      </c>
      <c r="K4" t="str">
        <f>IF(I3=K3,I4,I3)</f>
        <v>Choutka</v>
      </c>
      <c r="L4">
        <f>IF(J3=L3,J4,J3)</f>
        <v>9</v>
      </c>
      <c r="M4" t="str">
        <f>IF(L5&gt;L4,K5,K4)</f>
        <v>Choutka</v>
      </c>
      <c r="N4">
        <f>IF(L5&gt;L4,L5,L4)</f>
        <v>9</v>
      </c>
      <c r="O4" t="str">
        <f>M4</f>
        <v>Choutka</v>
      </c>
    </row>
    <row r="5" spans="1:15" ht="12.75">
      <c r="A5" t="str">
        <f>'Základní část'!B6</f>
        <v>Trmal</v>
      </c>
      <c r="B5">
        <f>'Základní část'!I6</f>
        <v>10</v>
      </c>
      <c r="C5" t="str">
        <f>IF(B6&gt;B5,A6,A5)</f>
        <v>Trmal</v>
      </c>
      <c r="D5">
        <f>IF(B6&gt;B5,B6,B5)</f>
        <v>10</v>
      </c>
      <c r="E5" t="str">
        <f>IF(C4=E4,C5,C4)</f>
        <v>Šašinka</v>
      </c>
      <c r="F5">
        <f>IF(D4=F4,D5,D4)</f>
        <v>5</v>
      </c>
      <c r="G5" t="str">
        <f>IF(F6&gt;F5,E6,E5)</f>
        <v>Herout</v>
      </c>
      <c r="H5">
        <f>IF(F6&gt;F5,F6,F5)</f>
        <v>8</v>
      </c>
      <c r="I5" t="str">
        <f>IF(G4=I4,G5,G4)</f>
        <v>Herout</v>
      </c>
      <c r="J5">
        <f>IF(H4=J4,H5,H4)</f>
        <v>8</v>
      </c>
      <c r="K5" t="str">
        <f>IF(J6&gt;J5,I6,I5)</f>
        <v>Herout</v>
      </c>
      <c r="L5">
        <f>IF(J6&gt;J5,J6,J5)</f>
        <v>8</v>
      </c>
      <c r="M5" t="str">
        <f>IF(L5&gt;L4,K4,K5)</f>
        <v>Herout</v>
      </c>
      <c r="N5">
        <f>IF(L5&gt;L4,L4,L5)</f>
        <v>8</v>
      </c>
      <c r="O5" t="str">
        <f>M5</f>
        <v>Herout</v>
      </c>
    </row>
    <row r="6" spans="1:15" ht="12.75">
      <c r="A6" t="str">
        <f>'Základní část'!B7</f>
        <v>Vrána</v>
      </c>
      <c r="B6">
        <f>'Základní část'!I7</f>
        <v>6</v>
      </c>
      <c r="C6" t="str">
        <f>IF(A5=C5,A6,A5)</f>
        <v>Vrána</v>
      </c>
      <c r="D6">
        <f>IF(B5=D5,B6,B5)</f>
        <v>6</v>
      </c>
      <c r="E6" t="str">
        <f>IF(D6&lt;D7,C7,C6)</f>
        <v>Herout</v>
      </c>
      <c r="F6">
        <f>IF(D6&lt;D7,D7,D6)</f>
        <v>8</v>
      </c>
      <c r="G6" t="str">
        <f>IF(E5=G5,E6,E5)</f>
        <v>Šašinka</v>
      </c>
      <c r="H6">
        <f>IF(F5=H5,F6,F5)</f>
        <v>5</v>
      </c>
      <c r="I6" t="str">
        <f>IF(H6&lt;H7,G7,G6)</f>
        <v>Václ</v>
      </c>
      <c r="J6">
        <f>IF(H6&lt;H7,H7,H6)</f>
        <v>7</v>
      </c>
      <c r="K6" t="str">
        <f>IF(I5=K5,I6,I5)</f>
        <v>Václ</v>
      </c>
      <c r="L6">
        <f>IF(J5=L5,J6,J5)</f>
        <v>7</v>
      </c>
      <c r="M6" t="str">
        <f>IF(L7&gt;L6,K7,K6)</f>
        <v>Václ</v>
      </c>
      <c r="N6">
        <f>IF(L7&gt;L6,L7,L6)</f>
        <v>7</v>
      </c>
      <c r="O6" t="str">
        <f>M6</f>
        <v>Václ</v>
      </c>
    </row>
    <row r="7" spans="1:15" ht="12.75">
      <c r="A7" t="str">
        <f>'Základní část'!B8</f>
        <v>Václ</v>
      </c>
      <c r="B7">
        <f>'Základní část'!I8</f>
        <v>7</v>
      </c>
      <c r="C7" t="str">
        <f>IF(B8&gt;B7,A8,A7)</f>
        <v>Herout</v>
      </c>
      <c r="D7">
        <f>IF(B8&gt;B7,B8,B7)</f>
        <v>8</v>
      </c>
      <c r="E7" t="str">
        <f>IF(C6=E6,C7,C6)</f>
        <v>Vrána</v>
      </c>
      <c r="F7">
        <f>IF(D6=F6,D7,D6)</f>
        <v>6</v>
      </c>
      <c r="G7" t="str">
        <f>IF(F8&gt;F7,E8,E7)</f>
        <v>Václ</v>
      </c>
      <c r="H7">
        <f>IF(F8&gt;F7,F8,F7)</f>
        <v>7</v>
      </c>
      <c r="I7" t="str">
        <f>IF(G6=I6,G7,G6)</f>
        <v>Šašinka</v>
      </c>
      <c r="J7">
        <f>IF(H6=J6,H7,H6)</f>
        <v>5</v>
      </c>
      <c r="K7" t="str">
        <f>IF(J8&gt;J7,I8,I7)</f>
        <v>Vrána</v>
      </c>
      <c r="L7">
        <f>IF(J8&gt;J7,J8,J7)</f>
        <v>6</v>
      </c>
      <c r="M7" t="str">
        <f>IF(L7&gt;L6,K6,K7)</f>
        <v>Vrána</v>
      </c>
      <c r="N7">
        <f>IF(L7&gt;L6,L6,L7)</f>
        <v>6</v>
      </c>
      <c r="O7" t="str">
        <f>M7</f>
        <v>Vrána</v>
      </c>
    </row>
    <row r="8" spans="1:15" ht="12.75">
      <c r="A8" t="str">
        <f>'Základní část'!B9</f>
        <v>Herout</v>
      </c>
      <c r="B8">
        <f>'Základní část'!I9</f>
        <v>8</v>
      </c>
      <c r="C8" t="str">
        <f>IF(A7=C7,A8,A7)</f>
        <v>Václ</v>
      </c>
      <c r="D8">
        <f>IF(B7=D7,B8,B7)</f>
        <v>7</v>
      </c>
      <c r="E8" t="str">
        <f>C8</f>
        <v>Václ</v>
      </c>
      <c r="F8">
        <f>D8</f>
        <v>7</v>
      </c>
      <c r="G8" t="str">
        <f>IF(E7=G7,E8,E7)</f>
        <v>Vrána</v>
      </c>
      <c r="H8">
        <f>IF(F7=H7,F8,F7)</f>
        <v>6</v>
      </c>
      <c r="I8" t="str">
        <f>G8</f>
        <v>Vrána</v>
      </c>
      <c r="J8">
        <f>H8</f>
        <v>6</v>
      </c>
      <c r="K8" t="str">
        <f>IF(I7=K7,I8,I7)</f>
        <v>Šašinka</v>
      </c>
      <c r="L8">
        <f>IF(J7=L7,J8,J7)</f>
        <v>5</v>
      </c>
      <c r="M8" t="str">
        <f>K8</f>
        <v>Šašinka</v>
      </c>
      <c r="N8">
        <f>L8</f>
        <v>5</v>
      </c>
      <c r="O8" t="str">
        <f>M8</f>
        <v>Šašinka</v>
      </c>
    </row>
    <row r="11" ht="12.75">
      <c r="O11" t="s">
        <v>61</v>
      </c>
    </row>
    <row r="12" spans="1:15" ht="12.75">
      <c r="A12" t="s">
        <v>29</v>
      </c>
      <c r="O12" t="s">
        <v>62</v>
      </c>
    </row>
    <row r="13" spans="1:15" ht="12.75">
      <c r="A13" t="str">
        <f>'Základní část'!B22</f>
        <v>Němec</v>
      </c>
      <c r="B13">
        <f>'Základní část'!I22</f>
        <v>7</v>
      </c>
      <c r="C13" t="str">
        <f>IF(B14&gt;B13,A14,A13)</f>
        <v>Němec</v>
      </c>
      <c r="D13">
        <f>IF(B14&gt;B13,B14,B13)</f>
        <v>7</v>
      </c>
      <c r="E13" t="str">
        <f>C13</f>
        <v>Němec</v>
      </c>
      <c r="F13">
        <f>D13</f>
        <v>7</v>
      </c>
      <c r="G13" t="str">
        <f>IF(F14&gt;F13,E14,E13)</f>
        <v>Choutková</v>
      </c>
      <c r="H13">
        <f>IF(F14&gt;F13,F14,F13)</f>
        <v>10</v>
      </c>
      <c r="I13" t="str">
        <f>G13</f>
        <v>Choutková</v>
      </c>
      <c r="J13">
        <f>H13</f>
        <v>10</v>
      </c>
      <c r="K13" t="str">
        <f>IF(J14&gt;J13,I14,I13)</f>
        <v>Choutková</v>
      </c>
      <c r="L13">
        <f>IF(J14&gt;J13,J14,J13)</f>
        <v>10</v>
      </c>
      <c r="M13" t="str">
        <f>K13</f>
        <v>Choutková</v>
      </c>
      <c r="N13">
        <f>L13</f>
        <v>10</v>
      </c>
      <c r="O13" s="57" t="str">
        <f>M13</f>
        <v>Choutková</v>
      </c>
    </row>
    <row r="14" spans="1:15" ht="12.75">
      <c r="A14" t="str">
        <f>'Základní část'!B23</f>
        <v>Smékal</v>
      </c>
      <c r="B14">
        <f>'Základní část'!I23</f>
        <v>5</v>
      </c>
      <c r="C14" t="str">
        <f>IF(A13=C13,A14,A13)</f>
        <v>Smékal</v>
      </c>
      <c r="D14">
        <f>IF(B13=D13,B14,B13)</f>
        <v>5</v>
      </c>
      <c r="E14" t="str">
        <f>IF(D14&lt;D15,C15,C14)</f>
        <v>Choutková</v>
      </c>
      <c r="F14">
        <f>IF(D14&lt;D15,D15,D14)</f>
        <v>10</v>
      </c>
      <c r="G14" t="str">
        <f>IF(E13=G13,E14,E13)</f>
        <v>Němec</v>
      </c>
      <c r="H14">
        <f>IF(F13=H13,F14,F13)</f>
        <v>7</v>
      </c>
      <c r="I14" t="str">
        <f>IF(H14&lt;H15,G15,G14)</f>
        <v>Gregor</v>
      </c>
      <c r="J14">
        <f>IF(H14&lt;H15,H15,H14)</f>
        <v>9</v>
      </c>
      <c r="K14" t="str">
        <f>IF(I13=K13,I14,I13)</f>
        <v>Gregor</v>
      </c>
      <c r="L14">
        <f>IF(J13=L13,J14,J13)</f>
        <v>9</v>
      </c>
      <c r="M14" t="str">
        <f>IF(L15&gt;L14,K15,K14)</f>
        <v>Gregor</v>
      </c>
      <c r="N14">
        <f>IF(L15&gt;L14,L15,L14)</f>
        <v>9</v>
      </c>
      <c r="O14" s="57" t="str">
        <f>M14</f>
        <v>Gregor</v>
      </c>
    </row>
    <row r="15" spans="1:15" ht="12.75">
      <c r="A15" t="str">
        <f>'Základní část'!B24</f>
        <v>Choutková</v>
      </c>
      <c r="B15">
        <f>'Základní část'!I24</f>
        <v>10</v>
      </c>
      <c r="C15" t="str">
        <f>IF(B16&gt;B15,A16,A15)</f>
        <v>Choutková</v>
      </c>
      <c r="D15">
        <f>IF(B16&gt;B15,B16,B15)</f>
        <v>10</v>
      </c>
      <c r="E15" t="str">
        <f>IF(C14=E14,C15,C14)</f>
        <v>Smékal</v>
      </c>
      <c r="F15">
        <f>IF(D14=F14,D15,D14)</f>
        <v>5</v>
      </c>
      <c r="G15" t="str">
        <f>IF(F16&gt;F15,E16,E15)</f>
        <v>Gregor</v>
      </c>
      <c r="H15">
        <f>IF(F16&gt;F15,F16,F15)</f>
        <v>9</v>
      </c>
      <c r="I15" t="str">
        <f>IF(G14=I14,G15,G14)</f>
        <v>Němec</v>
      </c>
      <c r="J15">
        <f>IF(H14=J14,H15,H14)</f>
        <v>7</v>
      </c>
      <c r="K15" t="str">
        <f>IF(J16&gt;J15,I16,I15)</f>
        <v>Tůma</v>
      </c>
      <c r="L15">
        <f>IF(J16&gt;J15,J16,J15)</f>
        <v>8</v>
      </c>
      <c r="M15" t="str">
        <f>IF(L15&gt;L14,K14,K15)</f>
        <v>Tůma</v>
      </c>
      <c r="N15">
        <f>IF(L15&gt;L14,L14,L15)</f>
        <v>8</v>
      </c>
      <c r="O15" s="57" t="str">
        <f>M15</f>
        <v>Tůma</v>
      </c>
    </row>
    <row r="16" spans="1:15" ht="12.75">
      <c r="A16" t="str">
        <f>'Základní část'!B25</f>
        <v>Holinková</v>
      </c>
      <c r="B16">
        <f>'Základní část'!I25</f>
        <v>6</v>
      </c>
      <c r="C16" t="str">
        <f>IF(A15=C15,A16,A15)</f>
        <v>Holinková</v>
      </c>
      <c r="D16">
        <f>IF(B15=D15,B16,B15)</f>
        <v>6</v>
      </c>
      <c r="E16" t="str">
        <f>IF(D16&lt;D17,C17,C16)</f>
        <v>Gregor</v>
      </c>
      <c r="F16">
        <f>IF(D16&lt;D17,D17,D16)</f>
        <v>9</v>
      </c>
      <c r="G16" t="str">
        <f>IF(E15=G15,E16,E15)</f>
        <v>Smékal</v>
      </c>
      <c r="H16">
        <f>IF(F15=H15,F16,F15)</f>
        <v>5</v>
      </c>
      <c r="I16" t="str">
        <f>IF(H16&lt;H17,G17,G16)</f>
        <v>Tůma</v>
      </c>
      <c r="J16">
        <f>IF(H16&lt;H17,H17,H16)</f>
        <v>8</v>
      </c>
      <c r="K16" t="str">
        <f>IF(I15=K15,I16,I15)</f>
        <v>Němec</v>
      </c>
      <c r="L16">
        <f>IF(J15=L15,J16,J15)</f>
        <v>7</v>
      </c>
      <c r="M16" t="str">
        <f>IF(L17&gt;L16,K17,K16)</f>
        <v>Němec</v>
      </c>
      <c r="N16">
        <f>IF(L17&gt;L16,L17,L16)</f>
        <v>7</v>
      </c>
      <c r="O16" s="57" t="str">
        <f>M16</f>
        <v>Němec</v>
      </c>
    </row>
    <row r="17" spans="1:15" ht="12.75">
      <c r="A17" t="str">
        <f>'Základní část'!B26</f>
        <v>Tůma</v>
      </c>
      <c r="B17">
        <f>'Základní část'!I26</f>
        <v>8</v>
      </c>
      <c r="C17" t="str">
        <f>IF(B18&gt;B17,A18,A17)</f>
        <v>Gregor</v>
      </c>
      <c r="D17">
        <f>IF(B18&gt;B17,B18,B17)</f>
        <v>9</v>
      </c>
      <c r="E17" t="str">
        <f>IF(C16=E16,C17,C16)</f>
        <v>Holinková</v>
      </c>
      <c r="F17">
        <f>IF(D16=F16,D17,D16)</f>
        <v>6</v>
      </c>
      <c r="G17" t="str">
        <f>IF(F18&gt;F17,E18,E17)</f>
        <v>Tůma</v>
      </c>
      <c r="H17">
        <f>IF(F18&gt;F17,F18,F17)</f>
        <v>8</v>
      </c>
      <c r="I17" t="str">
        <f>IF(G16=I16,G17,G16)</f>
        <v>Smékal</v>
      </c>
      <c r="J17">
        <f>IF(H16=J16,H17,H16)</f>
        <v>5</v>
      </c>
      <c r="K17" t="str">
        <f>IF(J18&gt;J17,I18,I17)</f>
        <v>Holinková</v>
      </c>
      <c r="L17">
        <f>IF(J18&gt;J17,J18,J17)</f>
        <v>6</v>
      </c>
      <c r="M17" t="str">
        <f>IF(L17&gt;L16,K16,K17)</f>
        <v>Holinková</v>
      </c>
      <c r="N17">
        <f>IF(L17&gt;L16,L16,L17)</f>
        <v>6</v>
      </c>
      <c r="O17" s="57" t="str">
        <f>M17</f>
        <v>Holinková</v>
      </c>
    </row>
    <row r="18" spans="1:15" ht="12.75">
      <c r="A18" t="str">
        <f>'Základní část'!B27</f>
        <v>Gregor</v>
      </c>
      <c r="B18">
        <f>'Základní část'!I27</f>
        <v>9</v>
      </c>
      <c r="C18" t="str">
        <f>IF(A17=C17,A18,A17)</f>
        <v>Tůma</v>
      </c>
      <c r="D18">
        <f>IF(B17=D17,B18,B17)</f>
        <v>8</v>
      </c>
      <c r="E18" t="str">
        <f>C18</f>
        <v>Tůma</v>
      </c>
      <c r="F18">
        <f>D18</f>
        <v>8</v>
      </c>
      <c r="G18" t="str">
        <f>IF(E17=G17,E18,E17)</f>
        <v>Holinková</v>
      </c>
      <c r="H18">
        <f>IF(F17=H17,F18,F17)</f>
        <v>6</v>
      </c>
      <c r="I18" t="str">
        <f>G18</f>
        <v>Holinková</v>
      </c>
      <c r="J18">
        <f>H18</f>
        <v>6</v>
      </c>
      <c r="K18" t="str">
        <f>IF(I17=K17,I18,I17)</f>
        <v>Smékal</v>
      </c>
      <c r="L18">
        <f>IF(J17=L17,J18,J17)</f>
        <v>5</v>
      </c>
      <c r="M18" t="str">
        <f>K18</f>
        <v>Smékal</v>
      </c>
      <c r="N18">
        <f>L18</f>
        <v>5</v>
      </c>
      <c r="O18" s="57" t="str">
        <f>M18</f>
        <v>Smékal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2">
      <selection activeCell="B4" sqref="B4"/>
    </sheetView>
  </sheetViews>
  <sheetFormatPr defaultColWidth="9.00390625" defaultRowHeight="12.75"/>
  <cols>
    <col min="1" max="1" width="2.625" style="0" customWidth="1"/>
    <col min="2" max="2" width="23.75390625" style="0" customWidth="1"/>
    <col min="3" max="3" width="9.00390625" style="0" hidden="1" customWidth="1"/>
    <col min="4" max="5" width="6.75390625" style="0" customWidth="1"/>
    <col min="6" max="6" width="6.125" style="0" customWidth="1"/>
    <col min="7" max="7" width="7.25390625" style="0" customWidth="1"/>
    <col min="8" max="8" width="3.625" style="0" customWidth="1"/>
    <col min="11" max="11" width="21.125" style="0" customWidth="1"/>
    <col min="12" max="12" width="6.375" style="44" customWidth="1"/>
    <col min="13" max="13" width="19.125" style="0" customWidth="1"/>
    <col min="15" max="15" width="9.125" style="30" customWidth="1"/>
    <col min="19" max="19" width="21.125" style="57" customWidth="1"/>
    <col min="20" max="20" width="21.125" style="0" customWidth="1"/>
    <col min="21" max="21" width="5.625" style="46" customWidth="1"/>
    <col min="22" max="22" width="15.00390625" style="0" customWidth="1"/>
    <col min="23" max="23" width="5.75390625" style="0" customWidth="1"/>
  </cols>
  <sheetData>
    <row r="1" spans="2:24" ht="12.75">
      <c r="B1" t="s">
        <v>63</v>
      </c>
      <c r="J1" s="32" t="s">
        <v>64</v>
      </c>
      <c r="K1" s="77" t="s">
        <v>60</v>
      </c>
      <c r="L1" s="59" t="s">
        <v>65</v>
      </c>
      <c r="M1" s="58" t="s">
        <v>58</v>
      </c>
      <c r="N1" s="78" t="s">
        <v>66</v>
      </c>
      <c r="O1" s="32" t="s">
        <v>64</v>
      </c>
      <c r="Q1" s="46">
        <v>32660</v>
      </c>
      <c r="R1" s="32" t="s">
        <v>64</v>
      </c>
      <c r="S1" s="58" t="s">
        <v>60</v>
      </c>
      <c r="T1" s="77" t="s">
        <v>67</v>
      </c>
      <c r="U1" s="59" t="s">
        <v>65</v>
      </c>
      <c r="V1" s="58" t="s">
        <v>58</v>
      </c>
      <c r="W1" s="78" t="s">
        <v>66</v>
      </c>
      <c r="X1" s="32" t="s">
        <v>64</v>
      </c>
    </row>
    <row r="2" spans="2:24" ht="12.75">
      <c r="B2" s="60" t="s">
        <v>68</v>
      </c>
      <c r="C2" s="60"/>
      <c r="D2" s="60" t="s">
        <v>69</v>
      </c>
      <c r="E2" s="60" t="s">
        <v>70</v>
      </c>
      <c r="F2" s="60" t="s">
        <v>71</v>
      </c>
      <c r="G2" s="60" t="s">
        <v>72</v>
      </c>
      <c r="H2" t="s">
        <v>73</v>
      </c>
      <c r="J2" s="30">
        <v>1</v>
      </c>
      <c r="K2" s="60" t="str">
        <f>'Pořadí - jednotlivci'!E5</f>
        <v>Jiskra Zruč nad Sázavou 'A'</v>
      </c>
      <c r="L2" s="61">
        <f>'Pořadí - jednotlivci'!D5</f>
        <v>33025</v>
      </c>
      <c r="M2" s="60" t="str">
        <f>'Pořadí - jednotlivci'!C5</f>
        <v>Herout František</v>
      </c>
      <c r="N2" s="60">
        <f>'Pořadí - jednotlivci'!AP5</f>
        <v>274</v>
      </c>
      <c r="O2" s="30">
        <v>1</v>
      </c>
      <c r="R2">
        <v>1</v>
      </c>
      <c r="S2" s="60" t="str">
        <f>IF('Pořadí - jednotlivci'!$D5&gt;$Q$1,'Pořadí - jednotlivci'!E5,"ZZZ")</f>
        <v>Jiskra Zruč nad Sázavou 'A'</v>
      </c>
      <c r="T2" s="60" t="str">
        <f aca="true" t="shared" si="0" ref="T2:T21">IF(ISERR(MID(S2,1,FIND(" '",S2)-1)),S2,MID(S2,1,FIND(" '",S2)-1))</f>
        <v>Jiskra Zruč nad Sázavou</v>
      </c>
      <c r="U2" s="62">
        <f>IF('Pořadí - jednotlivci'!$D5&gt;$Q$1,'Pořadí - jednotlivci'!D5,"ZZZ")</f>
        <v>33025</v>
      </c>
      <c r="V2" s="60" t="str">
        <f>IF('Pořadí - jednotlivci'!$D5&gt;$Q$1,'Pořadí - jednotlivci'!C5,"ZZZ")</f>
        <v>Herout František</v>
      </c>
      <c r="W2" s="60">
        <f>IF('Pořadí - jednotlivci'!$D5&gt;$Q$1,'Pořadí - jednotlivci'!AP5,0)</f>
        <v>274</v>
      </c>
      <c r="X2">
        <v>1</v>
      </c>
    </row>
    <row r="3" spans="1:24" ht="12.75">
      <c r="A3" t="s">
        <v>16</v>
      </c>
      <c r="B3" s="48" t="s">
        <v>74</v>
      </c>
      <c r="C3" s="60">
        <f>IF(ISNUMBER(VLOOKUP(B3,$K$2:$O$21,5,FALSE)),VLOOKUP(B3,$K$2:$O$21,5,FALSE),20)</f>
        <v>13</v>
      </c>
      <c r="D3" s="60">
        <f>IF(VLOOKUP(C3,$J$2:$N$21,2)=B3,VLOOKUP(C3,$J$2:$N$21,5),0)</f>
        <v>273</v>
      </c>
      <c r="E3" s="60">
        <f>IF(VLOOKUP(C3+1,$J$2:$N$21,2)=B3,VLOOKUP(C3+1,$J$2:$N$21,5),0)</f>
        <v>226</v>
      </c>
      <c r="F3" s="60">
        <f>IF(VLOOKUP(C3+2,$J$2:$N$21,2)=B3,VLOOKUP(C3+2,$J$2:$N$21,5),0)</f>
        <v>208</v>
      </c>
      <c r="G3" s="60">
        <f>SUM(D3:F3)</f>
        <v>707</v>
      </c>
      <c r="H3">
        <v>5</v>
      </c>
      <c r="J3" s="30">
        <v>2</v>
      </c>
      <c r="K3" s="60" t="str">
        <f>'Pořadí - jednotlivci'!E10</f>
        <v>Jiskra Zruč nad Sázavou 'A'</v>
      </c>
      <c r="L3" s="61">
        <f>'Pořadí - jednotlivci'!D10</f>
        <v>33329</v>
      </c>
      <c r="M3" s="60" t="str">
        <f>'Pořadí - jednotlivci'!C10</f>
        <v>Němec Martin</v>
      </c>
      <c r="N3" s="60">
        <f>'Pořadí - jednotlivci'!AP10</f>
        <v>217</v>
      </c>
      <c r="O3" s="30">
        <v>2</v>
      </c>
      <c r="R3">
        <v>2</v>
      </c>
      <c r="S3" s="60" t="str">
        <f>IF('Pořadí - jednotlivci'!$D10&gt;$Q$1,'Pořadí - jednotlivci'!E10,"ZZZ")</f>
        <v>Jiskra Zruč nad Sázavou 'A'</v>
      </c>
      <c r="T3" s="60" t="str">
        <f t="shared" si="0"/>
        <v>Jiskra Zruč nad Sázavou</v>
      </c>
      <c r="U3" s="62">
        <f>IF('Pořadí - jednotlivci'!$D10&gt;$Q$1,'Pořadí - jednotlivci'!D10,"ZZZ")</f>
        <v>33329</v>
      </c>
      <c r="V3" s="60" t="str">
        <f>IF('Pořadí - jednotlivci'!$D10&gt;$Q$1,'Pořadí - jednotlivci'!C10,"ZZZ")</f>
        <v>Němec Martin</v>
      </c>
      <c r="W3" s="60">
        <f>IF('Pořadí - jednotlivci'!$D10&gt;$Q$1,'Pořadí - jednotlivci'!AP10,0)</f>
        <v>217</v>
      </c>
      <c r="X3">
        <v>2</v>
      </c>
    </row>
    <row r="4" spans="1:24" ht="12.75">
      <c r="A4" t="s">
        <v>18</v>
      </c>
      <c r="B4" s="48" t="s">
        <v>77</v>
      </c>
      <c r="C4" s="60">
        <f>IF(ISNUMBER(VLOOKUP(B4,$K$2:$O$21,5,FALSE)),VLOOKUP(B4,$K$2:$O$21,5,FALSE),20)</f>
        <v>7</v>
      </c>
      <c r="D4" s="60">
        <f>IF(VLOOKUP(C4,$J$2:$N$21,2)=B4,VLOOKUP(C4,$J$2:$N$21,5),0)</f>
        <v>196</v>
      </c>
      <c r="E4" s="60">
        <f>IF(VLOOKUP(C4+1,$J$2:$N$21,2)=B4,VLOOKUP(C4+1,$J$2:$N$21,5),0)</f>
        <v>184</v>
      </c>
      <c r="F4" s="60">
        <f>IF(VLOOKUP(C4+2,$J$2:$N$21,2)=B4,VLOOKUP(C4+2,$J$2:$N$21,5),0)</f>
        <v>151</v>
      </c>
      <c r="G4" s="60">
        <f>SUM(D4:F4)</f>
        <v>531</v>
      </c>
      <c r="H4">
        <v>4</v>
      </c>
      <c r="J4" s="30">
        <v>3</v>
      </c>
      <c r="K4" s="60" t="str">
        <f>'Pořadí - jednotlivci'!E15</f>
        <v>Jiskra Zruč nad Sázavou 'B'</v>
      </c>
      <c r="L4" s="61">
        <f>'Pořadí - jednotlivci'!D15</f>
        <v>32964</v>
      </c>
      <c r="M4" s="60" t="str">
        <f>'Pořadí - jednotlivci'!C15</f>
        <v>Zajakov Petr</v>
      </c>
      <c r="N4" s="60">
        <f>'Pořadí - jednotlivci'!AP15</f>
        <v>180</v>
      </c>
      <c r="O4" s="30">
        <v>3</v>
      </c>
      <c r="R4">
        <v>3</v>
      </c>
      <c r="S4" s="60" t="str">
        <f>IF('Pořadí - jednotlivci'!$D15&gt;$Q$1,'Pořadí - jednotlivci'!E15,"ZZZ")</f>
        <v>Jiskra Zruč nad Sázavou 'B'</v>
      </c>
      <c r="T4" s="60" t="str">
        <f t="shared" si="0"/>
        <v>Jiskra Zruč nad Sázavou</v>
      </c>
      <c r="U4" s="62">
        <f>IF('Pořadí - jednotlivci'!$D15&gt;$Q$1,'Pořadí - jednotlivci'!D15,"ZZZ")</f>
        <v>32964</v>
      </c>
      <c r="V4" s="60" t="str">
        <f>IF('Pořadí - jednotlivci'!$D15&gt;$Q$1,'Pořadí - jednotlivci'!C15,"ZZZ")</f>
        <v>Zajakov Petr</v>
      </c>
      <c r="W4" s="60">
        <f>IF('Pořadí - jednotlivci'!$D15&gt;$Q$1,'Pořadí - jednotlivci'!AP15,0)</f>
        <v>180</v>
      </c>
      <c r="X4">
        <v>3</v>
      </c>
    </row>
    <row r="5" spans="1:24" ht="12.75">
      <c r="A5" t="s">
        <v>20</v>
      </c>
      <c r="B5" s="48" t="s">
        <v>75</v>
      </c>
      <c r="C5" s="60">
        <f>IF(ISNUMBER(VLOOKUP(B5,$K$2:$O$21,5,FALSE)),VLOOKUP(B5,$K$2:$O$21,5,FALSE),20)</f>
        <v>3</v>
      </c>
      <c r="D5" s="60">
        <f>IF(VLOOKUP(C5,$J$2:$N$21,2)=B5,VLOOKUP(C5,$J$2:$N$21,5),0)</f>
        <v>180</v>
      </c>
      <c r="E5" s="60">
        <f>IF(VLOOKUP(C5+1,$J$2:$N$21,2)=B5,VLOOKUP(C5+1,$J$2:$N$21,5),0)</f>
        <v>165</v>
      </c>
      <c r="F5" s="60">
        <f>IF(VLOOKUP(C5+2,$J$2:$N$21,2)=B5,VLOOKUP(C5+2,$J$2:$N$21,5),0)</f>
        <v>0</v>
      </c>
      <c r="G5" s="60">
        <f>SUM(D5:F5)</f>
        <v>345</v>
      </c>
      <c r="H5">
        <v>3</v>
      </c>
      <c r="J5" s="30">
        <v>4</v>
      </c>
      <c r="K5" s="60" t="str">
        <f>'Pořadí - jednotlivci'!E16</f>
        <v>Jiskra Zruč nad Sázavou 'B'</v>
      </c>
      <c r="L5" s="61">
        <f>'Pořadí - jednotlivci'!D16</f>
        <v>32264</v>
      </c>
      <c r="M5" s="60" t="str">
        <f>'Pořadí - jednotlivci'!C16</f>
        <v>Šašinka Petr</v>
      </c>
      <c r="N5" s="60">
        <f>'Pořadí - jednotlivci'!AP16</f>
        <v>165</v>
      </c>
      <c r="O5" s="30">
        <v>4</v>
      </c>
      <c r="R5">
        <v>4</v>
      </c>
      <c r="S5" s="60" t="str">
        <f>IF('Pořadí - jednotlivci'!$D7&gt;$Q$1,'Pořadí - jednotlivci'!E7,"ZZZ")</f>
        <v>Kavalier Sázava 'A'</v>
      </c>
      <c r="T5" s="60" t="str">
        <f t="shared" si="0"/>
        <v>Kavalier Sázava</v>
      </c>
      <c r="U5" s="62">
        <f>IF('Pořadí - jednotlivci'!$D7&gt;$Q$1,'Pořadí - jednotlivci'!D7,"ZZZ")</f>
        <v>32874</v>
      </c>
      <c r="V5" s="60" t="str">
        <f>IF('Pořadí - jednotlivci'!$D7&gt;$Q$1,'Pořadí - jednotlivci'!C7,"ZZZ")</f>
        <v>Gregor Tomáš</v>
      </c>
      <c r="W5" s="60">
        <f>IF('Pořadí - jednotlivci'!$D7&gt;$Q$1,'Pořadí - jednotlivci'!AP7,0)</f>
        <v>256</v>
      </c>
      <c r="X5">
        <v>4</v>
      </c>
    </row>
    <row r="6" spans="1:24" ht="12.75">
      <c r="A6" t="s">
        <v>22</v>
      </c>
      <c r="B6" s="48" t="s">
        <v>78</v>
      </c>
      <c r="C6" s="60">
        <f>IF(ISNUMBER(VLOOKUP(B6,$K$2:$O$21,5,FALSE)),VLOOKUP(B6,$K$2:$O$21,5,FALSE),20)</f>
        <v>10</v>
      </c>
      <c r="D6" s="60">
        <f>IF(VLOOKUP(C6,$J$2:$N$21,2)=B6,VLOOKUP(C6,$J$2:$N$21,5),0)</f>
        <v>120</v>
      </c>
      <c r="E6" s="60">
        <v>45</v>
      </c>
      <c r="F6" s="60">
        <v>45</v>
      </c>
      <c r="G6" s="60">
        <f>SUM(D6:F6)</f>
        <v>210</v>
      </c>
      <c r="H6">
        <v>2</v>
      </c>
      <c r="J6" s="30">
        <v>5</v>
      </c>
      <c r="K6" s="60" t="str">
        <f>'Pořadí - jednotlivci'!E3</f>
        <v>Kavalier Sázava 'A'</v>
      </c>
      <c r="L6" s="61">
        <f>'Pořadí - jednotlivci'!D3</f>
        <v>32448</v>
      </c>
      <c r="M6" s="60" t="str">
        <f>'Pořadí - jednotlivci'!C3</f>
        <v>Trmal Jan</v>
      </c>
      <c r="N6" s="60">
        <f>'Pořadí - jednotlivci'!AP3</f>
        <v>350</v>
      </c>
      <c r="O6" s="30">
        <v>5</v>
      </c>
      <c r="R6">
        <v>5</v>
      </c>
      <c r="S6" s="60" t="str">
        <f>IF('Pořadí - jednotlivci'!$D12&gt;$Q$1,'Pořadí - jednotlivci'!E12,"ZZZ")</f>
        <v>Sokol Čáslav</v>
      </c>
      <c r="T6" s="60" t="str">
        <f t="shared" si="0"/>
        <v>Sokol Čáslav</v>
      </c>
      <c r="U6" s="62">
        <f>IF('Pořadí - jednotlivci'!$D12&gt;$Q$1,'Pořadí - jednotlivci'!D12,"ZZZ")</f>
        <v>32721</v>
      </c>
      <c r="V6" s="60" t="str">
        <f>IF('Pořadí - jednotlivci'!$D12&gt;$Q$1,'Pořadí - jednotlivci'!C12,"ZZZ")</f>
        <v>Smékal Jan</v>
      </c>
      <c r="W6" s="60">
        <f>IF('Pořadí - jednotlivci'!$D12&gt;$Q$1,'Pořadí - jednotlivci'!AP12,0)</f>
        <v>196</v>
      </c>
      <c r="X6">
        <v>5</v>
      </c>
    </row>
    <row r="7" spans="1:24" ht="12.75">
      <c r="A7" t="s">
        <v>24</v>
      </c>
      <c r="B7" s="48" t="s">
        <v>76</v>
      </c>
      <c r="C7" s="60">
        <f>IF(ISNUMBER(VLOOKUP(B7,$K$2:$O$21,5,FALSE)),VLOOKUP(B7,$K$2:$O$21,5,FALSE),20)</f>
        <v>20</v>
      </c>
      <c r="D7" s="60">
        <v>105</v>
      </c>
      <c r="E7" s="60">
        <f>IF(VLOOKUP(C7+1,$J$2:$N$21,2)=B7,VLOOKUP(C7+1,$J$2:$N$21,5),0)</f>
        <v>0</v>
      </c>
      <c r="F7" s="60">
        <f>IF(VLOOKUP(C7+2,$J$2:$N$21,2)=B7,VLOOKUP(C7+2,$J$2:$N$21,5),0)</f>
        <v>0</v>
      </c>
      <c r="G7" s="60">
        <f>SUM(D7:F7)</f>
        <v>105</v>
      </c>
      <c r="H7">
        <v>1</v>
      </c>
      <c r="J7" s="30">
        <v>6</v>
      </c>
      <c r="K7" s="60" t="str">
        <f>'Pořadí - jednotlivci'!E7</f>
        <v>Kavalier Sázava 'A'</v>
      </c>
      <c r="L7" s="61">
        <f>'Pořadí - jednotlivci'!D7</f>
        <v>32874</v>
      </c>
      <c r="M7" s="60" t="str">
        <f>'Pořadí - jednotlivci'!C7</f>
        <v>Gregor Tomáš</v>
      </c>
      <c r="N7" s="60">
        <f>'Pořadí - jednotlivci'!AP7</f>
        <v>256</v>
      </c>
      <c r="O7" s="30">
        <v>6</v>
      </c>
      <c r="R7">
        <v>6</v>
      </c>
      <c r="S7" s="60" t="str">
        <f>IF('Pořadí - jednotlivci'!$D14&gt;$Q$1,'Pořadí - jednotlivci'!E14,"ZZZ")</f>
        <v>Sokol Čáslav</v>
      </c>
      <c r="T7" s="60" t="str">
        <f t="shared" si="0"/>
        <v>Sokol Čáslav</v>
      </c>
      <c r="U7" s="62">
        <f>IF('Pořadí - jednotlivci'!$D14&gt;$Q$1,'Pořadí - jednotlivci'!D14,"ZZZ")</f>
        <v>32843</v>
      </c>
      <c r="V7" s="60" t="str">
        <f>IF('Pořadí - jednotlivci'!$D14&gt;$Q$1,'Pořadí - jednotlivci'!C14,"ZZZ")</f>
        <v>Vrána Radek</v>
      </c>
      <c r="W7" s="60">
        <f>IF('Pořadí - jednotlivci'!$D14&gt;$Q$1,'Pořadí - jednotlivci'!AP14,0)</f>
        <v>184</v>
      </c>
      <c r="X7">
        <v>6</v>
      </c>
    </row>
    <row r="8" spans="2:24" ht="12.75">
      <c r="B8" s="57"/>
      <c r="C8" s="57"/>
      <c r="D8" s="57"/>
      <c r="E8" s="57"/>
      <c r="F8" s="57"/>
      <c r="G8" s="57"/>
      <c r="J8" s="30">
        <v>7</v>
      </c>
      <c r="K8" s="60" t="str">
        <f>'Pořadí - jednotlivci'!E12</f>
        <v>Sokol Čáslav</v>
      </c>
      <c r="L8" s="61">
        <f>'Pořadí - jednotlivci'!D12</f>
        <v>32721</v>
      </c>
      <c r="M8" s="60" t="str">
        <f>'Pořadí - jednotlivci'!C12</f>
        <v>Smékal Jan</v>
      </c>
      <c r="N8" s="60">
        <f>'Pořadí - jednotlivci'!AP12</f>
        <v>196</v>
      </c>
      <c r="O8" s="30">
        <v>7</v>
      </c>
      <c r="R8">
        <v>7</v>
      </c>
      <c r="S8" s="60" t="str">
        <f>IF('Pořadí - jednotlivci'!$D18&gt;$Q$1,'Pořadí - jednotlivci'!E18,"ZZZ")</f>
        <v>Sokol Čáslav</v>
      </c>
      <c r="T8" s="60" t="str">
        <f t="shared" si="0"/>
        <v>Sokol Čáslav</v>
      </c>
      <c r="U8" s="62">
        <f>IF('Pořadí - jednotlivci'!$D18&gt;$Q$1,'Pořadí - jednotlivci'!D18,"ZZZ")</f>
        <v>34366</v>
      </c>
      <c r="V8" s="60" t="str">
        <f>IF('Pořadí - jednotlivci'!$D18&gt;$Q$1,'Pořadí - jednotlivci'!C18,"ZZZ")</f>
        <v>Pipek Dušan</v>
      </c>
      <c r="W8" s="60">
        <f>IF('Pořadí - jednotlivci'!$D18&gt;$Q$1,'Pořadí - jednotlivci'!AP18,0)</f>
        <v>151</v>
      </c>
      <c r="X8">
        <v>7</v>
      </c>
    </row>
    <row r="9" spans="10:24" ht="12.75">
      <c r="J9" s="30">
        <v>8</v>
      </c>
      <c r="K9" s="60" t="str">
        <f>'Pořadí - jednotlivci'!E14</f>
        <v>Sokol Čáslav</v>
      </c>
      <c r="L9" s="61">
        <f>'Pořadí - jednotlivci'!D14</f>
        <v>32843</v>
      </c>
      <c r="M9" s="60" t="str">
        <f>'Pořadí - jednotlivci'!C14</f>
        <v>Vrána Radek</v>
      </c>
      <c r="N9" s="60">
        <f>'Pořadí - jednotlivci'!AP14</f>
        <v>184</v>
      </c>
      <c r="O9" s="30">
        <v>8</v>
      </c>
      <c r="R9">
        <v>8</v>
      </c>
      <c r="S9" s="60" t="str">
        <f>IF('Pořadí - jednotlivci'!$D22&gt;$Q$1,'Pořadí - jednotlivci'!E22,"ZZZ")</f>
        <v>Sokol Chlístovice</v>
      </c>
      <c r="T9" s="60" t="str">
        <f>IF(ISERR(MID(S9,1,FIND(" '",S9)-1)),S9,MID(S9,1,FIND(" '",S9)-1))</f>
        <v>Sokol Chlístovice</v>
      </c>
      <c r="U9" s="62">
        <f>IF('Pořadí - jednotlivci'!$D22&gt;$Q$1,'Pořadí - jednotlivci'!D22,"ZZZ")</f>
        <v>33482</v>
      </c>
      <c r="V9" s="60" t="str">
        <f>IF('Pořadí - jednotlivci'!$D22&gt;$Q$1,'Pořadí - jednotlivci'!C22,"ZZZ")</f>
        <v>Arientová Erika</v>
      </c>
      <c r="W9" s="60">
        <f>IF('Pořadí - jednotlivci'!$D22&gt;$Q$1,'Pořadí - jednotlivci'!AP22,0)</f>
        <v>120</v>
      </c>
      <c r="X9">
        <v>8</v>
      </c>
    </row>
    <row r="10" spans="2:24" ht="12.75">
      <c r="B10" t="s">
        <v>79</v>
      </c>
      <c r="J10" s="30">
        <v>9</v>
      </c>
      <c r="K10" s="60" t="str">
        <f>'Pořadí - jednotlivci'!E18</f>
        <v>Sokol Čáslav</v>
      </c>
      <c r="L10" s="61">
        <f>'Pořadí - jednotlivci'!D18</f>
        <v>34366</v>
      </c>
      <c r="M10" s="60" t="str">
        <f>'Pořadí - jednotlivci'!C18</f>
        <v>Pipek Dušan</v>
      </c>
      <c r="N10" s="60">
        <f>'Pořadí - jednotlivci'!AP18</f>
        <v>151</v>
      </c>
      <c r="O10" s="30">
        <v>9</v>
      </c>
      <c r="R10">
        <v>9</v>
      </c>
      <c r="S10" s="60" t="str">
        <f>IF('Pořadí - jednotlivci'!$D4&gt;$Q$1,'Pořadí - jednotlivci'!E4,"ZZZ")</f>
        <v>Sokol Kutná Hora 'A'</v>
      </c>
      <c r="T10" s="60" t="str">
        <f t="shared" si="0"/>
        <v>Sokol Kutná Hora</v>
      </c>
      <c r="U10" s="62">
        <f>IF('Pořadí - jednotlivci'!$D4&gt;$Q$1,'Pořadí - jednotlivci'!D4,"ZZZ")</f>
        <v>33055</v>
      </c>
      <c r="V10" s="60" t="str">
        <f>IF('Pořadí - jednotlivci'!$D4&gt;$Q$1,'Pořadí - jednotlivci'!C4,"ZZZ")</f>
        <v>Choutka Jaroslav</v>
      </c>
      <c r="W10" s="60">
        <f>IF('Pořadí - jednotlivci'!$D4&gt;$Q$1,'Pořadí - jednotlivci'!AP4,0)</f>
        <v>300</v>
      </c>
      <c r="X10">
        <v>9</v>
      </c>
    </row>
    <row r="11" spans="2:24" ht="12.75">
      <c r="B11" s="60" t="s">
        <v>68</v>
      </c>
      <c r="C11" s="60"/>
      <c r="D11" s="60" t="s">
        <v>69</v>
      </c>
      <c r="E11" s="60" t="s">
        <v>70</v>
      </c>
      <c r="F11" s="60" t="s">
        <v>71</v>
      </c>
      <c r="G11" s="60" t="s">
        <v>72</v>
      </c>
      <c r="H11" t="s">
        <v>73</v>
      </c>
      <c r="J11" s="30">
        <v>10</v>
      </c>
      <c r="K11" s="60" t="str">
        <f>'Pořadí - jednotlivci'!E22</f>
        <v>Sokol Chlístovice</v>
      </c>
      <c r="L11" s="61">
        <f>'Pořadí - jednotlivci'!D22</f>
        <v>33482</v>
      </c>
      <c r="M11" s="60" t="str">
        <f>'Pořadí - jednotlivci'!C22</f>
        <v>Arientová Erika</v>
      </c>
      <c r="N11" s="60">
        <f>'Pořadí - jednotlivci'!AP22</f>
        <v>120</v>
      </c>
      <c r="O11" s="30">
        <v>10</v>
      </c>
      <c r="R11">
        <v>10</v>
      </c>
      <c r="S11" s="60" t="str">
        <f>IF('Pořadí - jednotlivci'!$D11&gt;$Q$1,'Pořadí - jednotlivci'!E11,"ZZZ")</f>
        <v>Sokol Kutná Hora 'B'</v>
      </c>
      <c r="T11" s="60" t="str">
        <f t="shared" si="0"/>
        <v>Sokol Kutná Hora</v>
      </c>
      <c r="U11" s="62">
        <f>IF('Pořadí - jednotlivci'!$D11&gt;$Q$1,'Pořadí - jednotlivci'!D11,"ZZZ")</f>
        <v>33239</v>
      </c>
      <c r="V11" s="60" t="str">
        <f>IF('Pořadí - jednotlivci'!$D11&gt;$Q$1,'Pořadí - jednotlivci'!C11,"ZZZ")</f>
        <v>Holinková Eva</v>
      </c>
      <c r="W11" s="60">
        <f>IF('Pořadí - jednotlivci'!$D11&gt;$Q$1,'Pořadí - jednotlivci'!AP11,0)</f>
        <v>208</v>
      </c>
      <c r="X11">
        <v>10</v>
      </c>
    </row>
    <row r="12" spans="1:24" ht="12.75">
      <c r="A12" t="s">
        <v>16</v>
      </c>
      <c r="B12" s="48" t="s">
        <v>81</v>
      </c>
      <c r="C12" s="60">
        <f>IF(ISNUMBER(VLOOKUP(B12,$T$2:$X$21,5,FALSE)),VLOOKUP(B12,$T$2:$X$21,5,FALSE),20)</f>
        <v>1</v>
      </c>
      <c r="D12" s="60">
        <f>IF(VLOOKUP(C12,$R$2:$W$21,3)=B12,VLOOKUP(C12,$R$2:$W$21,6),0)</f>
        <v>274</v>
      </c>
      <c r="E12" s="60">
        <f>IF(VLOOKUP(C12+1,$R$2:$W$21,3)=B12,VLOOKUP(C12+1,$R$2:$W$21,6),0)</f>
        <v>217</v>
      </c>
      <c r="F12" s="60">
        <f>IF(VLOOKUP(C12+2,$R$2:$W$21,3)=B12,VLOOKUP(C12+2,$R$2:$W$21,6),0)</f>
        <v>180</v>
      </c>
      <c r="G12" s="60">
        <f>SUM(D12:F12)</f>
        <v>671</v>
      </c>
      <c r="H12">
        <v>5</v>
      </c>
      <c r="J12" s="30">
        <v>11</v>
      </c>
      <c r="K12" s="60" t="str">
        <f>'Pořadí - jednotlivci'!E4</f>
        <v>Sokol Kutná Hora 'A'</v>
      </c>
      <c r="L12" s="61">
        <f>'Pořadí - jednotlivci'!D4</f>
        <v>33055</v>
      </c>
      <c r="M12" s="60" t="str">
        <f>'Pořadí - jednotlivci'!C4</f>
        <v>Choutka Jaroslav</v>
      </c>
      <c r="N12" s="60">
        <f>'Pořadí - jednotlivci'!AP4</f>
        <v>300</v>
      </c>
      <c r="O12" s="30">
        <v>11</v>
      </c>
      <c r="R12">
        <v>11</v>
      </c>
      <c r="S12" s="60" t="str">
        <f>IF('Pořadí - jednotlivci'!$D17&gt;$Q$1,'Pořadí - jednotlivci'!E17,"ZZZ")</f>
        <v>Sokol Kutná Hora 'B'</v>
      </c>
      <c r="T12" s="60" t="str">
        <f t="shared" si="0"/>
        <v>Sokol Kutná Hora</v>
      </c>
      <c r="U12" s="62">
        <f>IF('Pořadí - jednotlivci'!$D17&gt;$Q$1,'Pořadí - jednotlivci'!D17,"ZZZ")</f>
        <v>32964</v>
      </c>
      <c r="V12" s="60" t="str">
        <f>IF('Pořadí - jednotlivci'!$D17&gt;$Q$1,'Pořadí - jednotlivci'!C17,"ZZZ")</f>
        <v>Sosnovcová Eva</v>
      </c>
      <c r="W12" s="60">
        <f>IF('Pořadí - jednotlivci'!$D17&gt;$Q$1,'Pořadí - jednotlivci'!AP17,0)</f>
        <v>160</v>
      </c>
      <c r="X12">
        <v>11</v>
      </c>
    </row>
    <row r="13" spans="1:24" ht="12.75">
      <c r="A13" t="s">
        <v>18</v>
      </c>
      <c r="B13" s="48" t="s">
        <v>82</v>
      </c>
      <c r="C13" s="60">
        <f>IF(ISNUMBER(VLOOKUP(B13,$T$2:$X$21,5,FALSE)),VLOOKUP(B13,$T$2:$X$21,5,FALSE),20)</f>
        <v>9</v>
      </c>
      <c r="D13" s="60">
        <f>IF(VLOOKUP(C13,$R$2:$W$21,3)=B13,VLOOKUP(C13,$R$2:$W$21,6),0)</f>
        <v>300</v>
      </c>
      <c r="E13" s="60">
        <f>IF(VLOOKUP(C13+1,$R$2:$W$21,3)=B13,VLOOKUP(C13+1,$R$2:$W$21,6),0)</f>
        <v>208</v>
      </c>
      <c r="F13" s="60">
        <f>IF(VLOOKUP(C13+2,$R$2:$W$21,3)=B13,VLOOKUP(C13+2,$R$2:$W$21,6),0)</f>
        <v>160</v>
      </c>
      <c r="G13" s="60">
        <f>SUM(D13:F13)</f>
        <v>668</v>
      </c>
      <c r="H13">
        <v>4</v>
      </c>
      <c r="J13" s="30">
        <v>12</v>
      </c>
      <c r="K13" s="60" t="str">
        <f>'Pořadí - jednotlivci'!E8</f>
        <v>Sokol Kutná Hora 'A'</v>
      </c>
      <c r="L13" s="61">
        <f>'Pořadí - jednotlivci'!D8</f>
        <v>32629</v>
      </c>
      <c r="M13" s="60" t="str">
        <f>'Pořadí - jednotlivci'!C8</f>
        <v>Tůma Pavel</v>
      </c>
      <c r="N13" s="60">
        <f>'Pořadí - jednotlivci'!AP8</f>
        <v>240</v>
      </c>
      <c r="O13" s="30">
        <v>12</v>
      </c>
      <c r="R13">
        <v>12</v>
      </c>
      <c r="S13" s="60" t="str">
        <f>IF('Pořadí - jednotlivci'!$D19&gt;$Q$1,'Pořadí - jednotlivci'!E19,"ZZZ")</f>
        <v>Sokol Kutná Hora 'B'</v>
      </c>
      <c r="T13" s="60" t="str">
        <f>IF(ISERR(MID(S13,1,FIND(" '",S13)-1)),S13,MID(S13,1,FIND(" '",S13)-1))</f>
        <v>Sokol Kutná Hora</v>
      </c>
      <c r="U13" s="62">
        <f>IF('Pořadí - jednotlivci'!$D19&gt;$Q$1,'Pořadí - jednotlivci'!D19,"ZZZ")</f>
        <v>33390</v>
      </c>
      <c r="V13" s="60" t="str">
        <f>IF('Pořadí - jednotlivci'!$D19&gt;$Q$1,'Pořadí - jednotlivci'!C19,"ZZZ")</f>
        <v>Bárta Martin</v>
      </c>
      <c r="W13" s="60">
        <f>IF('Pořadí - jednotlivci'!$D19&gt;$Q$1,'Pořadí - jednotlivci'!AP19,0)</f>
        <v>140</v>
      </c>
      <c r="X13">
        <v>12</v>
      </c>
    </row>
    <row r="14" spans="1:24" ht="12.75">
      <c r="A14" t="s">
        <v>20</v>
      </c>
      <c r="B14" s="48" t="s">
        <v>77</v>
      </c>
      <c r="C14" s="60">
        <f>IF(ISNUMBER(VLOOKUP(B14,$T$2:$X$21,5,FALSE)),VLOOKUP(B14,$T$2:$X$21,5,FALSE),20)</f>
        <v>5</v>
      </c>
      <c r="D14" s="60">
        <f>IF(VLOOKUP(C14,$R$2:$W$21,3)=B14,VLOOKUP(C14,$R$2:$W$21,6),0)</f>
        <v>196</v>
      </c>
      <c r="E14" s="60">
        <f>IF(VLOOKUP(C14+1,$R$2:$W$21,3)=B14,VLOOKUP(C14+1,$R$2:$W$21,6),0)</f>
        <v>184</v>
      </c>
      <c r="F14" s="60">
        <f>IF(VLOOKUP(C14+2,$R$2:$W$21,3)=B14,VLOOKUP(C14+2,$R$2:$W$21,6),0)</f>
        <v>151</v>
      </c>
      <c r="G14" s="60">
        <f>SUM(D14:F14)</f>
        <v>531</v>
      </c>
      <c r="H14">
        <v>3</v>
      </c>
      <c r="J14" s="30">
        <v>13</v>
      </c>
      <c r="K14" s="60" t="str">
        <f>'Pořadí - jednotlivci'!E6</f>
        <v>Sokol Kutná Hora 'B'</v>
      </c>
      <c r="L14" s="61">
        <f>'Pořadí - jednotlivci'!D6</f>
        <v>32325</v>
      </c>
      <c r="M14" s="60" t="str">
        <f>'Pořadí - jednotlivci'!C6</f>
        <v>Choutková Magdaléna</v>
      </c>
      <c r="N14" s="60">
        <f>'Pořadí - jednotlivci'!AP6</f>
        <v>273</v>
      </c>
      <c r="O14" s="30">
        <v>13</v>
      </c>
      <c r="R14">
        <v>13</v>
      </c>
      <c r="S14" s="60" t="str">
        <f>IF('Pořadí - jednotlivci'!$D20&gt;$Q$1,'Pořadí - jednotlivci'!E20,"ZZZ")</f>
        <v>Sokol Kutná Hora 'B'</v>
      </c>
      <c r="T14" s="60" t="str">
        <f>IF(ISERR(MID(S14,1,FIND(" '",S14)-1)),S14,MID(S14,1,FIND(" '",S14)-1))</f>
        <v>Sokol Kutná Hora</v>
      </c>
      <c r="U14" s="62">
        <f>IF('Pořadí - jednotlivci'!$D20&gt;$Q$1,'Pořadí - jednotlivci'!D20,"ZZZ")</f>
        <v>33390</v>
      </c>
      <c r="V14" s="60" t="str">
        <f>IF('Pořadí - jednotlivci'!$D20&gt;$Q$1,'Pořadí - jednotlivci'!C20,"ZZZ")</f>
        <v>Vörös Vojtěch</v>
      </c>
      <c r="W14" s="60">
        <f>IF('Pořadí - jednotlivci'!$D20&gt;$Q$1,'Pořadí - jednotlivci'!AP20,0)</f>
        <v>135</v>
      </c>
      <c r="X14">
        <v>13</v>
      </c>
    </row>
    <row r="15" spans="1:24" ht="12.75">
      <c r="A15" t="s">
        <v>22</v>
      </c>
      <c r="B15" s="48" t="s">
        <v>80</v>
      </c>
      <c r="C15" s="60">
        <f>IF(ISNUMBER(VLOOKUP(B15,$T$2:$X$21,5,FALSE)),VLOOKUP(B15,$T$2:$X$21,5,FALSE),20)</f>
        <v>4</v>
      </c>
      <c r="D15" s="60">
        <f>IF(VLOOKUP(C15,$R$2:$W$21,3)=B15,VLOOKUP(C15,$R$2:$W$21,6),0)</f>
        <v>256</v>
      </c>
      <c r="E15" s="60">
        <v>105</v>
      </c>
      <c r="F15" s="60">
        <f>IF(VLOOKUP(C15+2,$R$2:$W$21,3)=B15,VLOOKUP(C15+2,$R$2:$W$21,6),0)</f>
        <v>0</v>
      </c>
      <c r="G15" s="60">
        <f>SUM(D15:F15)</f>
        <v>361</v>
      </c>
      <c r="H15">
        <v>2</v>
      </c>
      <c r="J15" s="30">
        <v>14</v>
      </c>
      <c r="K15" s="60" t="str">
        <f>'Pořadí - jednotlivci'!E9</f>
        <v>Sokol Kutná Hora 'B'</v>
      </c>
      <c r="L15" s="61">
        <f>'Pořadí - jednotlivci'!D9</f>
        <v>32295</v>
      </c>
      <c r="M15" s="60" t="str">
        <f>'Pořadí - jednotlivci'!C9</f>
        <v>Václ Jan</v>
      </c>
      <c r="N15" s="60">
        <f>'Pořadí - jednotlivci'!AP9</f>
        <v>226</v>
      </c>
      <c r="O15" s="30">
        <v>14</v>
      </c>
      <c r="R15">
        <v>14</v>
      </c>
      <c r="S15" s="60" t="str">
        <f>IF('Pořadí - jednotlivci'!$D21&gt;$Q$1,'Pořadí - jednotlivci'!E21,"ZZZ")</f>
        <v>Sokol Kutná Hora 'B'</v>
      </c>
      <c r="T15" s="60" t="str">
        <f>IF(ISERR(MID(S15,1,FIND(" '",S15)-1)),S15,MID(S15,1,FIND(" '",S15)-1))</f>
        <v>Sokol Kutná Hora</v>
      </c>
      <c r="U15" s="62">
        <f>IF('Pořadí - jednotlivci'!$D21&gt;$Q$1,'Pořadí - jednotlivci'!D21,"ZZZ")</f>
        <v>33178</v>
      </c>
      <c r="V15" s="60" t="str">
        <f>IF('Pořadí - jednotlivci'!$D21&gt;$Q$1,'Pořadí - jednotlivci'!C21,"ZZZ")</f>
        <v>Líbal Tomáš</v>
      </c>
      <c r="W15" s="60">
        <f>IF('Pořadí - jednotlivci'!$D21&gt;$Q$1,'Pořadí - jednotlivci'!AP21,0)</f>
        <v>129</v>
      </c>
      <c r="X15">
        <v>14</v>
      </c>
    </row>
    <row r="16" spans="1:24" ht="12.75">
      <c r="A16" t="s">
        <v>24</v>
      </c>
      <c r="B16" s="48" t="s">
        <v>78</v>
      </c>
      <c r="C16" s="60">
        <f>IF(ISNUMBER(VLOOKUP(B16,$T$2:$X$21,5,FALSE)),VLOOKUP(B16,$T$2:$X$21,5,FALSE),20)</f>
        <v>8</v>
      </c>
      <c r="D16" s="60">
        <f>IF(VLOOKUP(C16,$R$2:$W$21,3)=B16,VLOOKUP(C16,$R$2:$W$21,6),0)</f>
        <v>120</v>
      </c>
      <c r="E16" s="60">
        <v>45</v>
      </c>
      <c r="F16" s="60">
        <v>45</v>
      </c>
      <c r="G16" s="60">
        <f>SUM(D16:F16)</f>
        <v>210</v>
      </c>
      <c r="H16">
        <v>1</v>
      </c>
      <c r="J16" s="30">
        <v>15</v>
      </c>
      <c r="K16" s="60" t="str">
        <f>'Pořadí - jednotlivci'!E11</f>
        <v>Sokol Kutná Hora 'B'</v>
      </c>
      <c r="L16" s="61">
        <f>'Pořadí - jednotlivci'!D11</f>
        <v>33239</v>
      </c>
      <c r="M16" s="60" t="str">
        <f>'Pořadí - jednotlivci'!C11</f>
        <v>Holinková Eva</v>
      </c>
      <c r="N16" s="60">
        <f>'Pořadí - jednotlivci'!AP11</f>
        <v>208</v>
      </c>
      <c r="O16" s="30">
        <v>15</v>
      </c>
      <c r="R16">
        <v>15</v>
      </c>
      <c r="S16" s="60" t="str">
        <f>IF('Pořadí - jednotlivci'!$D3&gt;$Q$1,'Pořadí - jednotlivci'!E3,"ZZZ")</f>
        <v>ZZZ</v>
      </c>
      <c r="T16" s="60" t="str">
        <f t="shared" si="0"/>
        <v>ZZZ</v>
      </c>
      <c r="U16" s="62" t="str">
        <f>IF('Pořadí - jednotlivci'!$D3&gt;$Q$1,'Pořadí - jednotlivci'!D3,"ZZZ")</f>
        <v>ZZZ</v>
      </c>
      <c r="V16" s="60" t="str">
        <f>IF('Pořadí - jednotlivci'!$D3&gt;$Q$1,'Pořadí - jednotlivci'!C3,"ZZZ")</f>
        <v>ZZZ</v>
      </c>
      <c r="W16" s="60">
        <f>IF('Pořadí - jednotlivci'!$D3&gt;$Q$1,'Pořadí - jednotlivci'!AP3,0)</f>
        <v>0</v>
      </c>
      <c r="X16">
        <v>15</v>
      </c>
    </row>
    <row r="17" spans="2:24" ht="12.75">
      <c r="B17" s="57"/>
      <c r="C17" s="57"/>
      <c r="D17" s="57"/>
      <c r="E17" s="57"/>
      <c r="F17" s="57"/>
      <c r="G17" s="57"/>
      <c r="J17" s="30">
        <v>16</v>
      </c>
      <c r="K17" s="60" t="str">
        <f>'Pořadí - jednotlivci'!E17</f>
        <v>Sokol Kutná Hora 'B'</v>
      </c>
      <c r="L17" s="61">
        <f>'Pořadí - jednotlivci'!D17</f>
        <v>32964</v>
      </c>
      <c r="M17" s="60" t="str">
        <f>'Pořadí - jednotlivci'!C17</f>
        <v>Sosnovcová Eva</v>
      </c>
      <c r="N17" s="60">
        <f>'Pořadí - jednotlivci'!AP17</f>
        <v>160</v>
      </c>
      <c r="O17" s="30">
        <v>16</v>
      </c>
      <c r="R17">
        <v>16</v>
      </c>
      <c r="S17" s="60" t="str">
        <f>IF('Pořadí - jednotlivci'!$D6&gt;$Q$1,'Pořadí - jednotlivci'!E6,"ZZZ")</f>
        <v>ZZZ</v>
      </c>
      <c r="T17" s="60" t="str">
        <f t="shared" si="0"/>
        <v>ZZZ</v>
      </c>
      <c r="U17" s="62" t="str">
        <f>IF('Pořadí - jednotlivci'!$D6&gt;$Q$1,'Pořadí - jednotlivci'!D6,"ZZZ")</f>
        <v>ZZZ</v>
      </c>
      <c r="V17" s="60" t="str">
        <f>IF('Pořadí - jednotlivci'!$D6&gt;$Q$1,'Pořadí - jednotlivci'!C6,"ZZZ")</f>
        <v>ZZZ</v>
      </c>
      <c r="W17" s="60">
        <f>IF('Pořadí - jednotlivci'!$D6&gt;$Q$1,'Pořadí - jednotlivci'!AP6,0)</f>
        <v>0</v>
      </c>
      <c r="X17">
        <v>16</v>
      </c>
    </row>
    <row r="18" spans="10:24" ht="12.75">
      <c r="J18" s="30">
        <v>17</v>
      </c>
      <c r="K18" s="60" t="str">
        <f>'Pořadí - jednotlivci'!E19</f>
        <v>Sokol Kutná Hora 'B'</v>
      </c>
      <c r="L18" s="61">
        <f>'Pořadí - jednotlivci'!D19</f>
        <v>33390</v>
      </c>
      <c r="M18" s="60" t="str">
        <f>'Pořadí - jednotlivci'!C19</f>
        <v>Bárta Martin</v>
      </c>
      <c r="N18" s="60">
        <f>'Pořadí - jednotlivci'!AP19</f>
        <v>140</v>
      </c>
      <c r="O18" s="30">
        <v>17</v>
      </c>
      <c r="R18">
        <v>17</v>
      </c>
      <c r="S18" s="60" t="str">
        <f>IF('Pořadí - jednotlivci'!$D8&gt;$Q$1,'Pořadí - jednotlivci'!E8,"ZZZ")</f>
        <v>ZZZ</v>
      </c>
      <c r="T18" s="60" t="str">
        <f t="shared" si="0"/>
        <v>ZZZ</v>
      </c>
      <c r="U18" s="62" t="str">
        <f>IF('Pořadí - jednotlivci'!$D8&gt;$Q$1,'Pořadí - jednotlivci'!D8,"ZZZ")</f>
        <v>ZZZ</v>
      </c>
      <c r="V18" s="60" t="str">
        <f>IF('Pořadí - jednotlivci'!$D8&gt;$Q$1,'Pořadí - jednotlivci'!C8,"ZZZ")</f>
        <v>ZZZ</v>
      </c>
      <c r="W18" s="60">
        <f>IF('Pořadí - jednotlivci'!$D8&gt;$Q$1,'Pořadí - jednotlivci'!AP8,0)</f>
        <v>0</v>
      </c>
      <c r="X18">
        <v>17</v>
      </c>
    </row>
    <row r="19" spans="10:24" ht="12.75">
      <c r="J19" s="30">
        <v>18</v>
      </c>
      <c r="K19" s="60" t="str">
        <f>'Pořadí - jednotlivci'!E20</f>
        <v>Sokol Kutná Hora 'B'</v>
      </c>
      <c r="L19" s="61">
        <f>'Pořadí - jednotlivci'!D20</f>
        <v>33390</v>
      </c>
      <c r="M19" s="60" t="str">
        <f>'Pořadí - jednotlivci'!C20</f>
        <v>Vörös Vojtěch</v>
      </c>
      <c r="N19" s="60">
        <f>'Pořadí - jednotlivci'!AP20</f>
        <v>135</v>
      </c>
      <c r="O19" s="30">
        <v>18</v>
      </c>
      <c r="R19">
        <v>18</v>
      </c>
      <c r="S19" s="60" t="str">
        <f>IF('Pořadí - jednotlivci'!$D9&gt;$Q$1,'Pořadí - jednotlivci'!E9,"ZZZ")</f>
        <v>ZZZ</v>
      </c>
      <c r="T19" s="60" t="str">
        <f t="shared" si="0"/>
        <v>ZZZ</v>
      </c>
      <c r="U19" s="62" t="str">
        <f>IF('Pořadí - jednotlivci'!$D9&gt;$Q$1,'Pořadí - jednotlivci'!D9,"ZZZ")</f>
        <v>ZZZ</v>
      </c>
      <c r="V19" s="60" t="str">
        <f>IF('Pořadí - jednotlivci'!$D9&gt;$Q$1,'Pořadí - jednotlivci'!C9,"ZZZ")</f>
        <v>ZZZ</v>
      </c>
      <c r="W19" s="60">
        <f>IF('Pořadí - jednotlivci'!$D9&gt;$Q$1,'Pořadí - jednotlivci'!AP9,0)</f>
        <v>0</v>
      </c>
      <c r="X19">
        <v>18</v>
      </c>
    </row>
    <row r="20" spans="10:24" ht="12.75">
      <c r="J20" s="30">
        <v>19</v>
      </c>
      <c r="K20" s="60" t="str">
        <f>'Pořadí - jednotlivci'!E21</f>
        <v>Sokol Kutná Hora 'B'</v>
      </c>
      <c r="L20" s="61">
        <f>'Pořadí - jednotlivci'!D21</f>
        <v>33178</v>
      </c>
      <c r="M20" s="60" t="str">
        <f>'Pořadí - jednotlivci'!C21</f>
        <v>Líbal Tomáš</v>
      </c>
      <c r="N20" s="60">
        <f>'Pořadí - jednotlivci'!AP21</f>
        <v>129</v>
      </c>
      <c r="O20" s="30">
        <v>19</v>
      </c>
      <c r="R20">
        <v>19</v>
      </c>
      <c r="S20" s="60" t="str">
        <f>IF('Pořadí - jednotlivci'!$D13&gt;$Q$1,'Pořadí - jednotlivci'!E13,"ZZZ")</f>
        <v>ZZZ</v>
      </c>
      <c r="T20" s="60" t="str">
        <f t="shared" si="0"/>
        <v>ZZZ</v>
      </c>
      <c r="U20" s="62" t="str">
        <f>IF('Pořadí - jednotlivci'!$D13&gt;$Q$1,'Pořadí - jednotlivci'!D13,"ZZZ")</f>
        <v>ZZZ</v>
      </c>
      <c r="V20" s="60" t="str">
        <f>IF('Pořadí - jednotlivci'!$D13&gt;$Q$1,'Pořadí - jednotlivci'!C13,"ZZZ")</f>
        <v>ZZZ</v>
      </c>
      <c r="W20" s="60">
        <f>IF('Pořadí - jednotlivci'!$D13&gt;$Q$1,'Pořadí - jednotlivci'!AP13,0)</f>
        <v>0</v>
      </c>
      <c r="X20">
        <v>19</v>
      </c>
    </row>
    <row r="21" spans="10:24" ht="12.75">
      <c r="J21" s="30">
        <v>20</v>
      </c>
      <c r="K21" s="60" t="str">
        <f>'Pořadí - jednotlivci'!E13</f>
        <v>Sokol Malešov</v>
      </c>
      <c r="L21" s="61">
        <f>'Pořadí - jednotlivci'!D13</f>
        <v>32599</v>
      </c>
      <c r="M21" s="60" t="str">
        <f>'Pořadí - jednotlivci'!C13</f>
        <v>Mottl Martin</v>
      </c>
      <c r="N21" s="60">
        <f>'Pořadí - jednotlivci'!AP13</f>
        <v>194</v>
      </c>
      <c r="O21" s="30">
        <v>20</v>
      </c>
      <c r="R21">
        <v>20</v>
      </c>
      <c r="S21" s="60" t="str">
        <f>IF('Pořadí - jednotlivci'!$D16&gt;$Q$1,'Pořadí - jednotlivci'!E16,"ZZZ")</f>
        <v>ZZZ</v>
      </c>
      <c r="T21" s="60" t="str">
        <f t="shared" si="0"/>
        <v>ZZZ</v>
      </c>
      <c r="U21" s="62" t="str">
        <f>IF('Pořadí - jednotlivci'!$D16&gt;$Q$1,'Pořadí - jednotlivci'!D16,"ZZZ")</f>
        <v>ZZZ</v>
      </c>
      <c r="V21" s="60" t="str">
        <f>IF('Pořadí - jednotlivci'!$D16&gt;$Q$1,'Pořadí - jednotlivci'!C16,"ZZZ")</f>
        <v>ZZZ</v>
      </c>
      <c r="W21" s="60">
        <f>IF('Pořadí - jednotlivci'!$D16&gt;$Q$1,'Pořadí - jednotlivci'!AP16,0)</f>
        <v>0</v>
      </c>
      <c r="X21">
        <v>20</v>
      </c>
    </row>
    <row r="22" spans="10:24" ht="12.75">
      <c r="J22" s="32" t="s">
        <v>83</v>
      </c>
      <c r="O22" s="32" t="s">
        <v>83</v>
      </c>
      <c r="R22" s="32" t="s">
        <v>83</v>
      </c>
      <c r="X22" s="32" t="s">
        <v>83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70"/>
  <sheetViews>
    <sheetView workbookViewId="0" topLeftCell="A1">
      <selection activeCell="C4" sqref="C4"/>
    </sheetView>
  </sheetViews>
  <sheetFormatPr defaultColWidth="9.00390625" defaultRowHeight="12.75"/>
  <cols>
    <col min="1" max="1" width="4.75390625" style="69" customWidth="1"/>
    <col min="2" max="2" width="1.75390625" style="64" hidden="1" customWidth="1"/>
    <col min="3" max="3" width="20.75390625" style="64" customWidth="1"/>
    <col min="4" max="4" width="7.25390625" style="70" customWidth="1"/>
    <col min="5" max="5" width="24.00390625" style="64" customWidth="1"/>
    <col min="6" max="7" width="3.25390625" style="64" hidden="1" customWidth="1"/>
    <col min="8" max="8" width="4.00390625" style="64" hidden="1" customWidth="1"/>
    <col min="9" max="9" width="8.25390625" style="71" customWidth="1"/>
    <col min="10" max="10" width="3.00390625" style="71" hidden="1" customWidth="1"/>
    <col min="11" max="11" width="3.875" style="71" hidden="1" customWidth="1"/>
    <col min="12" max="40" width="2.00390625" style="71" hidden="1" customWidth="1"/>
    <col min="41" max="41" width="8.125" style="72" customWidth="1"/>
    <col min="42" max="42" width="6.375" style="71" hidden="1" customWidth="1"/>
    <col min="43" max="16384" width="9.125" style="64" customWidth="1"/>
  </cols>
  <sheetData>
    <row r="1" ht="15.75">
      <c r="A1" s="74" t="s">
        <v>84</v>
      </c>
    </row>
    <row r="2" spans="1:42" s="65" customFormat="1" ht="15.75">
      <c r="A2" s="63"/>
      <c r="B2" s="64"/>
      <c r="C2" s="65" t="s">
        <v>58</v>
      </c>
      <c r="D2" s="66" t="s">
        <v>59</v>
      </c>
      <c r="E2" s="65" t="s">
        <v>60</v>
      </c>
      <c r="F2" s="65" t="s">
        <v>85</v>
      </c>
      <c r="G2" s="65" t="s">
        <v>86</v>
      </c>
      <c r="H2" s="65" t="s">
        <v>87</v>
      </c>
      <c r="I2" s="67" t="s">
        <v>66</v>
      </c>
      <c r="J2" s="68"/>
      <c r="K2" s="67" t="s">
        <v>88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82" t="s">
        <v>57</v>
      </c>
      <c r="AP2" s="67" t="s">
        <v>89</v>
      </c>
    </row>
    <row r="3" spans="1:42" ht="15.75">
      <c r="A3" s="69" t="s">
        <v>16</v>
      </c>
      <c r="B3" s="64" t="str">
        <f>'Finálová část'!E29</f>
        <v>Trmal</v>
      </c>
      <c r="C3" s="64" t="str">
        <f>VLOOKUP(B3,Seznam!$A$2:$E$21,3,FALSE)</f>
        <v>Trmal Jan</v>
      </c>
      <c r="D3" s="70">
        <f>VLOOKUP(B3,Seznam!$A$2:$E$21,4,FALSE)</f>
        <v>32448</v>
      </c>
      <c r="E3" s="64" t="str">
        <f>VLOOKUP(B3,Seznam!$A$2:$E$21,5,FALSE)</f>
        <v>Kavalier Sázava 'A'</v>
      </c>
      <c r="F3" s="64">
        <f>VLOOKUP(B3,'Základní část'!$AF$2:$AH$21,2,FALSE)</f>
        <v>16</v>
      </c>
      <c r="G3" s="64">
        <v>5</v>
      </c>
      <c r="H3" s="64">
        <v>300</v>
      </c>
      <c r="I3" s="71">
        <f>SUM(F3:H3)</f>
        <v>321</v>
      </c>
      <c r="J3" s="71">
        <f>VLOOKUP(B3,'Základní část'!$AF$2:$AH$21,3,FALSE)</f>
        <v>17</v>
      </c>
      <c r="K3" s="71">
        <f>IF(B3='Finálová část'!Q$15,'Finálová část'!R$15,0)</f>
        <v>0</v>
      </c>
      <c r="L3" s="71">
        <f>IF(B3='Finálová část'!Q$16,'Finálová část'!R$16,0)</f>
        <v>0</v>
      </c>
      <c r="M3" s="71">
        <f>IF(B3='Finálová část'!Q$22,'Finálová část'!R$22,0)</f>
        <v>3</v>
      </c>
      <c r="N3" s="71">
        <f>IF(B3='Finálová část'!Q$23,'Finálová část'!R$23,0)</f>
        <v>0</v>
      </c>
      <c r="O3" s="71">
        <f>IF(B3='Finálová část'!Q$24,'Finálová část'!R$24,0)</f>
        <v>0</v>
      </c>
      <c r="P3" s="71">
        <f>IF(B3='Finálová část'!Q$25,'Finálová část'!R$25,0)</f>
        <v>0</v>
      </c>
      <c r="Q3" s="71">
        <f>IF(B3='Finálová část'!Q$27,'Finálová část'!R$27,0)</f>
        <v>5</v>
      </c>
      <c r="R3" s="71">
        <f>IF(B3='Finálová část'!Q$28,'Finálová část'!R$28,0)</f>
        <v>0</v>
      </c>
      <c r="S3" s="71">
        <f>IF(B3='Finálová část'!Q$29,'Finálová část'!R$29,0)</f>
        <v>0</v>
      </c>
      <c r="T3" s="71">
        <f>IF(B3='Finálová část'!Q$30,'Finálová část'!R$30,0)</f>
        <v>0</v>
      </c>
      <c r="U3" s="71">
        <f>IF(B3='Finálová část'!Q$32,'Finálová část'!R$32,0)</f>
        <v>4</v>
      </c>
      <c r="V3" s="71">
        <f>IF(B3='Finálová část'!Q$33,'Finálová část'!R$33,0)</f>
        <v>0</v>
      </c>
      <c r="W3" s="71">
        <f>IF(B3='Finálová část'!Q$34,'Finálová část'!R$34,0)</f>
        <v>0</v>
      </c>
      <c r="X3" s="71">
        <f>IF(B3='Finálová část'!Q$35,'Finálová část'!R$35,0)</f>
        <v>0</v>
      </c>
      <c r="Y3" s="71">
        <f>IF(B3='Finálová část'!Q$56,'Finálová část'!R$56,0)</f>
        <v>0</v>
      </c>
      <c r="Z3" s="71">
        <f>IF(B3='Finálová část'!Q$57,'Finálová část'!R$57,0)</f>
        <v>0</v>
      </c>
      <c r="AA3" s="71">
        <f>IF(B3='Finálová část'!Q$58,'Finálová část'!R$58,0)</f>
        <v>0</v>
      </c>
      <c r="AB3" s="71">
        <f>IF(B3='Finálová část'!Q$59,'Finálová část'!R$59,0)</f>
        <v>0</v>
      </c>
      <c r="AC3" s="71">
        <f>IF(B3='Finálová část'!Q$61,'Finálová část'!R$61,0)</f>
        <v>0</v>
      </c>
      <c r="AD3" s="71">
        <f>IF(B3='Finálová část'!Q$62,'Finálová část'!R$62,0)</f>
        <v>0</v>
      </c>
      <c r="AE3" s="71">
        <f>IF(B3='Finálová část'!Q$63,'Finálová část'!R$63,0)</f>
        <v>0</v>
      </c>
      <c r="AF3" s="71">
        <f>IF(B3='Finálová část'!Q$64,'Finálová část'!R$64,0)</f>
        <v>0</v>
      </c>
      <c r="AG3" s="71">
        <f>IF(B3='Finálová část'!Q$66,'Finálová část'!R$66,0)</f>
        <v>0</v>
      </c>
      <c r="AH3" s="71">
        <f>IF(B3='Finálová část'!Q$67,'Finálová část'!R$67,0)</f>
        <v>0</v>
      </c>
      <c r="AI3" s="71">
        <f>IF(B3='Finálová část'!Q$68,'Finálová část'!R$68,0)</f>
        <v>0</v>
      </c>
      <c r="AJ3" s="71">
        <f>IF(B3='Finálová část'!Q$69,'Finálová část'!R$69,0)</f>
        <v>0</v>
      </c>
      <c r="AK3" s="71">
        <f>IF(B3='Finálová část'!Q$91,'Finálová část'!R$91,0)</f>
        <v>0</v>
      </c>
      <c r="AL3" s="71">
        <f>IF(B3='Finálová část'!Q$92,'Finálová část'!R$92,0)</f>
        <v>0</v>
      </c>
      <c r="AM3" s="71">
        <f>IF(B3='Finálová část'!Q$93,'Finálová část'!R$93,0)</f>
        <v>0</v>
      </c>
      <c r="AN3" s="71">
        <f>IF(B3='Finálová část'!Q$94,'Finálová část'!R$94,0)</f>
        <v>0</v>
      </c>
      <c r="AO3" s="72">
        <f>SUM(J3:AN3)</f>
        <v>29</v>
      </c>
      <c r="AP3" s="71">
        <f>I3+AO3</f>
        <v>350</v>
      </c>
    </row>
    <row r="4" spans="1:42" ht="15.75">
      <c r="A4" s="69" t="s">
        <v>18</v>
      </c>
      <c r="B4" s="64" t="str">
        <f>IF('Finálová část'!N32&lt;'Finálová část'!O32,'Finálová část'!D25,'Finálová část'!D33)</f>
        <v>Choutka</v>
      </c>
      <c r="C4" s="64" t="str">
        <f>VLOOKUP(B4,Seznam!$A$2:$E$21,3,FALSE)</f>
        <v>Choutka Jaroslav</v>
      </c>
      <c r="D4" s="70">
        <f>VLOOKUP(B4,Seznam!$A$2:$E$21,4,FALSE)</f>
        <v>33055</v>
      </c>
      <c r="E4" s="64" t="str">
        <f>VLOOKUP(B4,Seznam!$A$2:$E$21,5,FALSE)</f>
        <v>Sokol Kutná Hora 'A'</v>
      </c>
      <c r="F4" s="64">
        <f>VLOOKUP(B4,'Základní část'!$AF$2:$AH$21,2,FALSE)</f>
        <v>14</v>
      </c>
      <c r="G4" s="64">
        <v>5</v>
      </c>
      <c r="H4" s="64">
        <v>260</v>
      </c>
      <c r="I4" s="71">
        <f aca="true" t="shared" si="0" ref="I4:I19">SUM(F4:H4)</f>
        <v>279</v>
      </c>
      <c r="J4" s="71">
        <f>VLOOKUP(B4,'Základní část'!$AF$2:$AH$21,3,FALSE)</f>
        <v>13</v>
      </c>
      <c r="K4" s="71">
        <f>IF(B4='Finálová část'!Q$15,'Finálová část'!R$15,0)</f>
        <v>0</v>
      </c>
      <c r="L4" s="71">
        <f>IF(B4='Finálová část'!Q$16,'Finálová část'!R$16,0)</f>
        <v>0</v>
      </c>
      <c r="M4" s="71">
        <f>IF(B4='Finálová část'!Q$22,'Finálová část'!R$22,0)</f>
        <v>0</v>
      </c>
      <c r="N4" s="71">
        <f>IF(B4='Finálová část'!Q$23,'Finálová část'!R$23,0)</f>
        <v>0</v>
      </c>
      <c r="O4" s="71">
        <f>IF(B4='Finálová část'!Q$24,'Finálová část'!R$24,0)</f>
        <v>4</v>
      </c>
      <c r="P4" s="71">
        <f>IF(B4='Finálová část'!Q$25,'Finálová část'!R$25,0)</f>
        <v>0</v>
      </c>
      <c r="Q4" s="71">
        <f>IF(B4='Finálová část'!Q$27,'Finálová část'!R$27,0)</f>
        <v>0</v>
      </c>
      <c r="R4" s="71">
        <f>IF(B4='Finálová část'!Q$28,'Finálová část'!R$28,0)</f>
        <v>4</v>
      </c>
      <c r="S4" s="71">
        <f>IF(B4='Finálová část'!Q$29,'Finálová část'!R$29,0)</f>
        <v>0</v>
      </c>
      <c r="T4" s="71">
        <f>IF(B4='Finálová část'!Q$30,'Finálová část'!R$30,0)</f>
        <v>0</v>
      </c>
      <c r="U4" s="71">
        <f>IF(B4='Finálová část'!Q$32,'Finálová část'!R$32,0)</f>
        <v>0</v>
      </c>
      <c r="V4" s="71">
        <f>IF(B4='Finálová část'!Q$33,'Finálová část'!R$33,0)</f>
        <v>0</v>
      </c>
      <c r="W4" s="71">
        <f>IF(B4='Finálová část'!Q$34,'Finálová část'!R$34,0)</f>
        <v>0</v>
      </c>
      <c r="X4" s="71">
        <f>IF(B4='Finálová část'!Q$35,'Finálová část'!R$35,0)</f>
        <v>0</v>
      </c>
      <c r="Y4" s="71">
        <f>IF(B4='Finálová část'!Q$56,'Finálová část'!R$56,0)</f>
        <v>0</v>
      </c>
      <c r="Z4" s="71">
        <f>IF(B4='Finálová část'!Q$57,'Finálová část'!R$57,0)</f>
        <v>0</v>
      </c>
      <c r="AA4" s="71">
        <f>IF(B4='Finálová část'!Q$58,'Finálová část'!R$58,0)</f>
        <v>0</v>
      </c>
      <c r="AB4" s="71">
        <f>IF(B4='Finálová část'!Q$59,'Finálová část'!R$59,0)</f>
        <v>0</v>
      </c>
      <c r="AC4" s="71">
        <f>IF(B4='Finálová část'!Q$61,'Finálová část'!R$61,0)</f>
        <v>0</v>
      </c>
      <c r="AD4" s="71">
        <f>IF(B4='Finálová část'!Q$62,'Finálová část'!R$62,0)</f>
        <v>0</v>
      </c>
      <c r="AE4" s="71">
        <f>IF(B4='Finálová část'!Q$63,'Finálová část'!R$63,0)</f>
        <v>0</v>
      </c>
      <c r="AF4" s="71">
        <f>IF(B4='Finálová část'!Q$64,'Finálová část'!R$64,0)</f>
        <v>0</v>
      </c>
      <c r="AG4" s="71">
        <f>IF(B4='Finálová část'!Q$66,'Finálová část'!R$66,0)</f>
        <v>0</v>
      </c>
      <c r="AH4" s="71">
        <f>IF(B4='Finálová část'!Q$67,'Finálová část'!R$67,0)</f>
        <v>0</v>
      </c>
      <c r="AI4" s="71">
        <f>IF(B4='Finálová část'!Q$68,'Finálová část'!R$68,0)</f>
        <v>0</v>
      </c>
      <c r="AJ4" s="71">
        <f>IF(B4='Finálová část'!Q$69,'Finálová část'!R$69,0)</f>
        <v>0</v>
      </c>
      <c r="AK4" s="71">
        <f>IF(B4='Finálová část'!Q$91,'Finálová část'!R$91,0)</f>
        <v>0</v>
      </c>
      <c r="AL4" s="71">
        <f>IF(B4='Finálová část'!Q$92,'Finálová část'!R$92,0)</f>
        <v>0</v>
      </c>
      <c r="AM4" s="71">
        <f>IF(B4='Finálová část'!Q$93,'Finálová část'!R$93,0)</f>
        <v>0</v>
      </c>
      <c r="AN4" s="71">
        <f>IF(B4='Finálová část'!Q$94,'Finálová část'!R$94,0)</f>
        <v>0</v>
      </c>
      <c r="AO4" s="72">
        <f aca="true" t="shared" si="1" ref="AO4:AO19">SUM(J4:AN4)</f>
        <v>21</v>
      </c>
      <c r="AP4" s="71">
        <f aca="true" t="shared" si="2" ref="AP4:AP19">I4+AO4</f>
        <v>300</v>
      </c>
    </row>
    <row r="5" spans="1:42" ht="15.75">
      <c r="A5" s="69" t="s">
        <v>20</v>
      </c>
      <c r="B5" s="64" t="str">
        <f>'Finálová část'!E39</f>
        <v>Herout</v>
      </c>
      <c r="C5" s="64" t="str">
        <f>VLOOKUP(B5,Seznam!$A$2:$E$21,3,FALSE)</f>
        <v>Herout František</v>
      </c>
      <c r="D5" s="70">
        <f>VLOOKUP(B5,Seznam!$A$2:$E$21,4,FALSE)</f>
        <v>33025</v>
      </c>
      <c r="E5" s="64" t="str">
        <f>VLOOKUP(B5,Seznam!$A$2:$E$21,5,FALSE)</f>
        <v>Jiskra Zruč nad Sázavou 'A'</v>
      </c>
      <c r="F5" s="64">
        <f>VLOOKUP(B5,'Základní část'!$AF$2:$AH$21,2,FALSE)</f>
        <v>12</v>
      </c>
      <c r="G5" s="64">
        <v>5</v>
      </c>
      <c r="H5" s="64">
        <v>240</v>
      </c>
      <c r="I5" s="71">
        <f t="shared" si="0"/>
        <v>257</v>
      </c>
      <c r="J5" s="71">
        <f>VLOOKUP(B5,'Základní část'!$AF$2:$AH$21,3,FALSE)</f>
        <v>8</v>
      </c>
      <c r="K5" s="71">
        <f>IF(B5='Finálová část'!Q$15,'Finálová část'!R$15,0)</f>
        <v>0</v>
      </c>
      <c r="L5" s="71">
        <f>IF(B5='Finálová část'!Q$16,'Finálová část'!R$16,0)</f>
        <v>0</v>
      </c>
      <c r="M5" s="71">
        <f>IF(B5='Finálová část'!Q$22,'Finálová část'!R$22,0)</f>
        <v>0</v>
      </c>
      <c r="N5" s="71">
        <f>IF(B5='Finálová část'!Q$23,'Finálová část'!R$23,0)</f>
        <v>5</v>
      </c>
      <c r="O5" s="71">
        <f>IF(B5='Finálová část'!Q$24,'Finálová část'!R$24,0)</f>
        <v>0</v>
      </c>
      <c r="P5" s="71">
        <f>IF(B5='Finálová část'!Q$25,'Finálová část'!R$25,0)</f>
        <v>0</v>
      </c>
      <c r="Q5" s="71">
        <f>IF(B5='Finálová část'!Q$27,'Finálová část'!R$27,0)</f>
        <v>0</v>
      </c>
      <c r="R5" s="71">
        <f>IF(B5='Finálová část'!Q$28,'Finálová část'!R$28,0)</f>
        <v>0</v>
      </c>
      <c r="S5" s="71">
        <f>IF(B5='Finálová část'!Q$29,'Finálová část'!R$29,0)</f>
        <v>0</v>
      </c>
      <c r="T5" s="71">
        <f>IF(B5='Finálová část'!Q$30,'Finálová část'!R$30,0)</f>
        <v>0</v>
      </c>
      <c r="U5" s="71">
        <f>IF(B5='Finálová část'!Q$32,'Finálová část'!R$32,0)</f>
        <v>0</v>
      </c>
      <c r="V5" s="71">
        <f>IF(B5='Finálová část'!Q$33,'Finálová část'!R$33,0)</f>
        <v>4</v>
      </c>
      <c r="W5" s="71">
        <f>IF(B5='Finálová část'!Q$34,'Finálová část'!R$34,0)</f>
        <v>0</v>
      </c>
      <c r="X5" s="71">
        <f>IF(B5='Finálová část'!Q$35,'Finálová část'!R$35,0)</f>
        <v>0</v>
      </c>
      <c r="Y5" s="71">
        <f>IF(B5='Finálová část'!Q$56,'Finálová část'!R$56,0)</f>
        <v>0</v>
      </c>
      <c r="Z5" s="71">
        <f>IF(B5='Finálová část'!Q$57,'Finálová část'!R$57,0)</f>
        <v>0</v>
      </c>
      <c r="AA5" s="71">
        <f>IF(B5='Finálová část'!Q$58,'Finálová část'!R$58,0)</f>
        <v>0</v>
      </c>
      <c r="AB5" s="71">
        <f>IF(B5='Finálová část'!Q$59,'Finálová část'!R$59,0)</f>
        <v>0</v>
      </c>
      <c r="AC5" s="71">
        <f>IF(B5='Finálová část'!Q$61,'Finálová část'!R$61,0)</f>
        <v>0</v>
      </c>
      <c r="AD5" s="71">
        <f>IF(B5='Finálová část'!Q$62,'Finálová část'!R$62,0)</f>
        <v>0</v>
      </c>
      <c r="AE5" s="71">
        <f>IF(B5='Finálová část'!Q$63,'Finálová část'!R$63,0)</f>
        <v>0</v>
      </c>
      <c r="AF5" s="71">
        <f>IF(B5='Finálová část'!Q$64,'Finálová část'!R$64,0)</f>
        <v>0</v>
      </c>
      <c r="AG5" s="71">
        <f>IF(B5='Finálová část'!Q$66,'Finálová část'!R$66,0)</f>
        <v>0</v>
      </c>
      <c r="AH5" s="71">
        <f>IF(B5='Finálová část'!Q$67,'Finálová část'!R$67,0)</f>
        <v>0</v>
      </c>
      <c r="AI5" s="71">
        <f>IF(B5='Finálová část'!Q$68,'Finálová část'!R$68,0)</f>
        <v>0</v>
      </c>
      <c r="AJ5" s="71">
        <f>IF(B5='Finálová část'!Q$69,'Finálová část'!R$69,0)</f>
        <v>0</v>
      </c>
      <c r="AK5" s="71">
        <f>IF(B5='Finálová část'!Q$91,'Finálová část'!R$91,0)</f>
        <v>0</v>
      </c>
      <c r="AL5" s="71">
        <f>IF(B5='Finálová část'!Q$92,'Finálová část'!R$92,0)</f>
        <v>0</v>
      </c>
      <c r="AM5" s="71">
        <f>IF(B5='Finálová část'!Q$93,'Finálová část'!R$93,0)</f>
        <v>0</v>
      </c>
      <c r="AN5" s="71">
        <f>IF(B5='Finálová část'!Q$94,'Finálová část'!R$94,0)</f>
        <v>0</v>
      </c>
      <c r="AO5" s="72">
        <f t="shared" si="1"/>
        <v>17</v>
      </c>
      <c r="AP5" s="71">
        <f t="shared" si="2"/>
        <v>274</v>
      </c>
    </row>
    <row r="6" spans="1:42" ht="15.75">
      <c r="A6" s="69" t="s">
        <v>22</v>
      </c>
      <c r="B6" s="64" t="str">
        <f>IF('Finálová část'!N33&lt;'Finálová část'!O33,'Finálová část'!D38,'Finálová část'!D40)</f>
        <v>Choutková</v>
      </c>
      <c r="C6" s="64" t="str">
        <f>VLOOKUP(B6,Seznam!$A$2:$E$21,3,FALSE)</f>
        <v>Choutková Magdaléna</v>
      </c>
      <c r="D6" s="70">
        <f>VLOOKUP(B6,Seznam!$A$2:$E$21,4,FALSE)</f>
        <v>32325</v>
      </c>
      <c r="E6" s="64" t="str">
        <f>VLOOKUP(B6,Seznam!$A$2:$E$21,5,FALSE)</f>
        <v>Sokol Kutná Hora 'B'</v>
      </c>
      <c r="F6" s="64">
        <f>VLOOKUP(B6,'Základní část'!$AF$2:$AH$21,2,FALSE)</f>
        <v>16</v>
      </c>
      <c r="G6" s="64">
        <v>5</v>
      </c>
      <c r="H6" s="64">
        <v>230</v>
      </c>
      <c r="I6" s="71">
        <f t="shared" si="0"/>
        <v>251</v>
      </c>
      <c r="J6" s="71">
        <f>VLOOKUP(B6,'Základní část'!$AF$2:$AH$21,3,FALSE)</f>
        <v>18</v>
      </c>
      <c r="K6" s="71">
        <f>IF(B6='Finálová část'!Q$15,'Finálová část'!R$15,0)</f>
        <v>0</v>
      </c>
      <c r="L6" s="71">
        <f>IF(B6='Finálová část'!Q$16,'Finálová část'!R$16,0)</f>
        <v>0</v>
      </c>
      <c r="M6" s="71">
        <f>IF(B6='Finálová část'!Q$22,'Finálová část'!R$22,0)</f>
        <v>0</v>
      </c>
      <c r="N6" s="71">
        <f>IF(B6='Finálová část'!Q$23,'Finálová část'!R$23,0)</f>
        <v>0</v>
      </c>
      <c r="O6" s="71">
        <f>IF(B6='Finálová část'!Q$24,'Finálová část'!R$24,0)</f>
        <v>0</v>
      </c>
      <c r="P6" s="71">
        <f>IF(B6='Finálová část'!Q$25,'Finálová část'!R$25,0)</f>
        <v>4</v>
      </c>
      <c r="Q6" s="71">
        <f>IF(B6='Finálová část'!Q$27,'Finálová část'!R$27,0)</f>
        <v>0</v>
      </c>
      <c r="R6" s="71">
        <f>IF(B6='Finálová část'!Q$28,'Finálová část'!R$28,0)</f>
        <v>0</v>
      </c>
      <c r="S6" s="71">
        <f>IF(B6='Finálová část'!Q$29,'Finálová část'!R$29,0)</f>
        <v>0</v>
      </c>
      <c r="T6" s="71">
        <f>IF(B6='Finálová část'!Q$30,'Finálová část'!R$30,0)</f>
        <v>0</v>
      </c>
      <c r="U6" s="71">
        <f>IF(B6='Finálová část'!Q$32,'Finálová část'!R$32,0)</f>
        <v>0</v>
      </c>
      <c r="V6" s="71">
        <f>IF(B6='Finálová část'!Q$33,'Finálová část'!R$33,0)</f>
        <v>0</v>
      </c>
      <c r="W6" s="71">
        <f>IF(B6='Finálová část'!Q$34,'Finálová část'!R$34,0)</f>
        <v>0</v>
      </c>
      <c r="X6" s="71">
        <f>IF(B6='Finálová část'!Q$35,'Finálová část'!R$35,0)</f>
        <v>0</v>
      </c>
      <c r="Y6" s="71">
        <f>IF(B6='Finálová část'!Q$56,'Finálová část'!R$56,0)</f>
        <v>0</v>
      </c>
      <c r="Z6" s="71">
        <f>IF(B6='Finálová část'!Q$57,'Finálová část'!R$57,0)</f>
        <v>0</v>
      </c>
      <c r="AA6" s="71">
        <f>IF(B6='Finálová část'!Q$58,'Finálová část'!R$58,0)</f>
        <v>0</v>
      </c>
      <c r="AB6" s="71">
        <f>IF(B6='Finálová část'!Q$59,'Finálová část'!R$59,0)</f>
        <v>0</v>
      </c>
      <c r="AC6" s="71">
        <f>IF(B6='Finálová část'!Q$61,'Finálová část'!R$61,0)</f>
        <v>0</v>
      </c>
      <c r="AD6" s="71">
        <f>IF(B6='Finálová část'!Q$62,'Finálová část'!R$62,0)</f>
        <v>0</v>
      </c>
      <c r="AE6" s="71">
        <f>IF(B6='Finálová část'!Q$63,'Finálová část'!R$63,0)</f>
        <v>0</v>
      </c>
      <c r="AF6" s="71">
        <f>IF(B6='Finálová část'!Q$64,'Finálová část'!R$64,0)</f>
        <v>0</v>
      </c>
      <c r="AG6" s="71">
        <f>IF(B6='Finálová část'!Q$66,'Finálová část'!R$66,0)</f>
        <v>0</v>
      </c>
      <c r="AH6" s="71">
        <f>IF(B6='Finálová část'!Q$67,'Finálová část'!R$67,0)</f>
        <v>0</v>
      </c>
      <c r="AI6" s="71">
        <f>IF(B6='Finálová část'!Q$68,'Finálová část'!R$68,0)</f>
        <v>0</v>
      </c>
      <c r="AJ6" s="71">
        <f>IF(B6='Finálová část'!Q$69,'Finálová část'!R$69,0)</f>
        <v>0</v>
      </c>
      <c r="AK6" s="71">
        <f>IF(B6='Finálová část'!Q$91,'Finálová část'!R$91,0)</f>
        <v>0</v>
      </c>
      <c r="AL6" s="71">
        <f>IF(B6='Finálová část'!Q$92,'Finálová část'!R$92,0)</f>
        <v>0</v>
      </c>
      <c r="AM6" s="71">
        <f>IF(B6='Finálová část'!Q$93,'Finálová část'!R$93,0)</f>
        <v>0</v>
      </c>
      <c r="AN6" s="71">
        <f>IF(B6='Finálová část'!Q$94,'Finálová část'!R$94,0)</f>
        <v>0</v>
      </c>
      <c r="AO6" s="72">
        <f t="shared" si="1"/>
        <v>22</v>
      </c>
      <c r="AP6" s="71">
        <f t="shared" si="2"/>
        <v>273</v>
      </c>
    </row>
    <row r="7" spans="1:42" ht="15.75">
      <c r="A7" s="69" t="s">
        <v>24</v>
      </c>
      <c r="B7" s="64" t="str">
        <f>'Finálová část'!E45</f>
        <v>Gregor</v>
      </c>
      <c r="C7" s="64" t="str">
        <f>VLOOKUP(B7,Seznam!$A$2:$E$21,3,FALSE)</f>
        <v>Gregor Tomáš</v>
      </c>
      <c r="D7" s="70">
        <f>VLOOKUP(B7,Seznam!$A$2:$E$21,4,FALSE)</f>
        <v>32874</v>
      </c>
      <c r="E7" s="64" t="str">
        <f>VLOOKUP(B7,Seznam!$A$2:$E$21,5,FALSE)</f>
        <v>Kavalier Sázava 'A'</v>
      </c>
      <c r="F7" s="64">
        <f>VLOOKUP(B7,'Základní část'!$AF$2:$AH$21,2,FALSE)</f>
        <v>14</v>
      </c>
      <c r="G7" s="64">
        <v>5</v>
      </c>
      <c r="H7" s="64">
        <v>217</v>
      </c>
      <c r="I7" s="71">
        <f t="shared" si="0"/>
        <v>236</v>
      </c>
      <c r="J7" s="71">
        <f>VLOOKUP(B7,'Základní část'!$AF$2:$AH$21,3,FALSE)</f>
        <v>13</v>
      </c>
      <c r="K7" s="71">
        <f>IF(B7='Finálová část'!Q$15,'Finálová část'!R$15,0)</f>
        <v>0</v>
      </c>
      <c r="L7" s="71">
        <f>IF(B7='Finálová část'!Q$16,'Finálová část'!R$16,0)</f>
        <v>0</v>
      </c>
      <c r="M7" s="71">
        <f>IF(B7='Finálová část'!Q$22,'Finálová část'!R$22,0)</f>
        <v>0</v>
      </c>
      <c r="N7" s="71">
        <f>IF(B7='Finálová část'!Q$23,'Finálová část'!R$23,0)</f>
        <v>0</v>
      </c>
      <c r="O7" s="71">
        <f>IF(B7='Finálová část'!Q$24,'Finálová část'!R$24,0)</f>
        <v>0</v>
      </c>
      <c r="P7" s="71">
        <f>IF(B7='Finálová část'!Q$25,'Finálová část'!R$25,0)</f>
        <v>0</v>
      </c>
      <c r="Q7" s="71">
        <f>IF(B7='Finálová část'!Q$27,'Finálová část'!R$27,0)</f>
        <v>0</v>
      </c>
      <c r="R7" s="71">
        <f>IF(B7='Finálová část'!Q$28,'Finálová část'!R$28,0)</f>
        <v>0</v>
      </c>
      <c r="S7" s="71">
        <f>IF(B7='Finálová část'!Q$29,'Finálová část'!R$29,0)</f>
        <v>3</v>
      </c>
      <c r="T7" s="71">
        <f>IF(B7='Finálová část'!Q$30,'Finálová část'!R$30,0)</f>
        <v>0</v>
      </c>
      <c r="U7" s="71">
        <f>IF(B7='Finálová část'!Q$32,'Finálová část'!R$32,0)</f>
        <v>0</v>
      </c>
      <c r="V7" s="71">
        <f>IF(B7='Finálová část'!Q$33,'Finálová část'!R$33,0)</f>
        <v>0</v>
      </c>
      <c r="W7" s="71">
        <f>IF(B7='Finálová část'!Q$34,'Finálová část'!R$34,0)</f>
        <v>4</v>
      </c>
      <c r="X7" s="71">
        <f>IF(B7='Finálová část'!Q$35,'Finálová část'!R$35,0)</f>
        <v>0</v>
      </c>
      <c r="Y7" s="71">
        <f>IF(B7='Finálová část'!Q$56,'Finálová část'!R$56,0)</f>
        <v>0</v>
      </c>
      <c r="Z7" s="71">
        <f>IF(B7='Finálová část'!Q$57,'Finálová část'!R$57,0)</f>
        <v>0</v>
      </c>
      <c r="AA7" s="71">
        <f>IF(B7='Finálová část'!Q$58,'Finálová část'!R$58,0)</f>
        <v>0</v>
      </c>
      <c r="AB7" s="71">
        <f>IF(B7='Finálová část'!Q$59,'Finálová část'!R$59,0)</f>
        <v>0</v>
      </c>
      <c r="AC7" s="71">
        <f>IF(B7='Finálová část'!Q$61,'Finálová část'!R$61,0)</f>
        <v>0</v>
      </c>
      <c r="AD7" s="71">
        <f>IF(B7='Finálová část'!Q$62,'Finálová část'!R$62,0)</f>
        <v>0</v>
      </c>
      <c r="AE7" s="71">
        <f>IF(B7='Finálová část'!Q$63,'Finálová část'!R$63,0)</f>
        <v>0</v>
      </c>
      <c r="AF7" s="71">
        <f>IF(B7='Finálová část'!Q$64,'Finálová část'!R$64,0)</f>
        <v>0</v>
      </c>
      <c r="AG7" s="71">
        <f>IF(B7='Finálová část'!Q$66,'Finálová část'!R$66,0)</f>
        <v>0</v>
      </c>
      <c r="AH7" s="71">
        <f>IF(B7='Finálová část'!Q$67,'Finálová část'!R$67,0)</f>
        <v>0</v>
      </c>
      <c r="AI7" s="71">
        <f>IF(B7='Finálová část'!Q$68,'Finálová část'!R$68,0)</f>
        <v>0</v>
      </c>
      <c r="AJ7" s="71">
        <f>IF(B7='Finálová část'!Q$69,'Finálová část'!R$69,0)</f>
        <v>0</v>
      </c>
      <c r="AK7" s="71">
        <f>IF(B7='Finálová část'!Q$91,'Finálová část'!R$91,0)</f>
        <v>0</v>
      </c>
      <c r="AL7" s="71">
        <f>IF(B7='Finálová část'!Q$92,'Finálová část'!R$92,0)</f>
        <v>0</v>
      </c>
      <c r="AM7" s="71">
        <f>IF(B7='Finálová část'!Q$93,'Finálová část'!R$93,0)</f>
        <v>0</v>
      </c>
      <c r="AN7" s="71">
        <f>IF(B7='Finálová část'!Q$94,'Finálová část'!R$94,0)</f>
        <v>0</v>
      </c>
      <c r="AO7" s="72">
        <f t="shared" si="1"/>
        <v>20</v>
      </c>
      <c r="AP7" s="71">
        <f t="shared" si="2"/>
        <v>256</v>
      </c>
    </row>
    <row r="8" spans="1:42" ht="15.75">
      <c r="A8" s="69" t="s">
        <v>26</v>
      </c>
      <c r="B8" s="64" t="str">
        <f>IF('Finálová část'!N34&lt;'Finálová část'!O34,'Finálová část'!D43,'Finálová část'!D47)</f>
        <v>Tůma</v>
      </c>
      <c r="C8" s="64" t="str">
        <f>VLOOKUP(B8,Seznam!$A$2:$E$21,3,FALSE)</f>
        <v>Tůma Pavel</v>
      </c>
      <c r="D8" s="70">
        <f>VLOOKUP(B8,Seznam!$A$2:$E$21,4,FALSE)</f>
        <v>32629</v>
      </c>
      <c r="E8" s="64" t="str">
        <f>VLOOKUP(B8,Seznam!$A$2:$E$21,5,FALSE)</f>
        <v>Sokol Kutná Hora 'A'</v>
      </c>
      <c r="F8" s="64">
        <f>VLOOKUP(B8,'Základní část'!$AF$2:$AH$21,2,FALSE)</f>
        <v>12</v>
      </c>
      <c r="G8" s="64">
        <v>5</v>
      </c>
      <c r="H8" s="64">
        <v>210</v>
      </c>
      <c r="I8" s="71">
        <f t="shared" si="0"/>
        <v>227</v>
      </c>
      <c r="J8" s="71">
        <f>VLOOKUP(B8,'Základní část'!$AF$2:$AH$21,3,FALSE)</f>
        <v>9</v>
      </c>
      <c r="K8" s="71">
        <f>IF(B8='Finálová část'!Q$15,'Finálová část'!R$15,0)</f>
        <v>0</v>
      </c>
      <c r="L8" s="71">
        <f>IF(B8='Finálová část'!Q$16,'Finálová část'!R$16,0)</f>
        <v>0</v>
      </c>
      <c r="M8" s="71">
        <f>IF(B8='Finálová část'!Q$22,'Finálová část'!R$22,0)</f>
        <v>0</v>
      </c>
      <c r="N8" s="71">
        <f>IF(B8='Finálová část'!Q$23,'Finálová část'!R$23,0)</f>
        <v>0</v>
      </c>
      <c r="O8" s="71">
        <f>IF(B8='Finálová část'!Q$24,'Finálová část'!R$24,0)</f>
        <v>0</v>
      </c>
      <c r="P8" s="71">
        <f>IF(B8='Finálová část'!Q$25,'Finálová část'!R$25,0)</f>
        <v>0</v>
      </c>
      <c r="Q8" s="71">
        <f>IF(B8='Finálová část'!Q$27,'Finálová část'!R$27,0)</f>
        <v>0</v>
      </c>
      <c r="R8" s="71">
        <f>IF(B8='Finálová část'!Q$28,'Finálová část'!R$28,0)</f>
        <v>0</v>
      </c>
      <c r="S8" s="71">
        <f>IF(B8='Finálová část'!Q$29,'Finálová část'!R$29,0)</f>
        <v>0</v>
      </c>
      <c r="T8" s="71">
        <f>IF(B8='Finálová část'!Q$30,'Finálová část'!R$30,0)</f>
        <v>4</v>
      </c>
      <c r="U8" s="71">
        <f>IF(B8='Finálová část'!Q$32,'Finálová část'!R$32,0)</f>
        <v>0</v>
      </c>
      <c r="V8" s="71">
        <f>IF(B8='Finálová část'!Q$33,'Finálová část'!R$33,0)</f>
        <v>0</v>
      </c>
      <c r="W8" s="71">
        <f>IF(B8='Finálová část'!Q$34,'Finálová část'!R$34,0)</f>
        <v>0</v>
      </c>
      <c r="X8" s="71">
        <f>IF(B8='Finálová část'!Q$35,'Finálová část'!R$35,0)</f>
        <v>0</v>
      </c>
      <c r="Y8" s="71">
        <f>IF(B8='Finálová část'!Q$56,'Finálová část'!R$56,0)</f>
        <v>0</v>
      </c>
      <c r="Z8" s="71">
        <f>IF(B8='Finálová část'!Q$57,'Finálová část'!R$57,0)</f>
        <v>0</v>
      </c>
      <c r="AA8" s="71">
        <f>IF(B8='Finálová část'!Q$58,'Finálová část'!R$58,0)</f>
        <v>0</v>
      </c>
      <c r="AB8" s="71">
        <f>IF(B8='Finálová část'!Q$59,'Finálová část'!R$59,0)</f>
        <v>0</v>
      </c>
      <c r="AC8" s="71">
        <f>IF(B8='Finálová část'!Q$61,'Finálová část'!R$61,0)</f>
        <v>0</v>
      </c>
      <c r="AD8" s="71">
        <f>IF(B8='Finálová část'!Q$62,'Finálová část'!R$62,0)</f>
        <v>0</v>
      </c>
      <c r="AE8" s="71">
        <f>IF(B8='Finálová část'!Q$63,'Finálová část'!R$63,0)</f>
        <v>0</v>
      </c>
      <c r="AF8" s="71">
        <f>IF(B8='Finálová část'!Q$64,'Finálová část'!R$64,0)</f>
        <v>0</v>
      </c>
      <c r="AG8" s="71">
        <f>IF(B8='Finálová část'!Q$66,'Finálová část'!R$66,0)</f>
        <v>0</v>
      </c>
      <c r="AH8" s="71">
        <f>IF(B8='Finálová část'!Q$67,'Finálová část'!R$67,0)</f>
        <v>0</v>
      </c>
      <c r="AI8" s="71">
        <f>IF(B8='Finálová část'!Q$68,'Finálová část'!R$68,0)</f>
        <v>0</v>
      </c>
      <c r="AJ8" s="71">
        <f>IF(B8='Finálová část'!Q$69,'Finálová část'!R$69,0)</f>
        <v>0</v>
      </c>
      <c r="AK8" s="71">
        <f>IF(B8='Finálová část'!Q$91,'Finálová část'!R$91,0)</f>
        <v>0</v>
      </c>
      <c r="AL8" s="71">
        <f>IF(B8='Finálová část'!Q$92,'Finálová část'!R$92,0)</f>
        <v>0</v>
      </c>
      <c r="AM8" s="71">
        <f>IF(B8='Finálová část'!Q$93,'Finálová část'!R$93,0)</f>
        <v>0</v>
      </c>
      <c r="AN8" s="71">
        <f>IF(B8='Finálová část'!Q$94,'Finálová část'!R$94,0)</f>
        <v>0</v>
      </c>
      <c r="AO8" s="72">
        <f t="shared" si="1"/>
        <v>13</v>
      </c>
      <c r="AP8" s="71">
        <f t="shared" si="2"/>
        <v>240</v>
      </c>
    </row>
    <row r="9" spans="1:42" ht="15.75">
      <c r="A9" s="69" t="s">
        <v>90</v>
      </c>
      <c r="B9" s="64" t="str">
        <f>'Finálová část'!E51</f>
        <v>Václ</v>
      </c>
      <c r="C9" s="64" t="str">
        <f>VLOOKUP(B9,Seznam!$A$2:$E$21,3,FALSE)</f>
        <v>Václ Jan</v>
      </c>
      <c r="D9" s="70">
        <f>VLOOKUP(B9,Seznam!$A$2:$E$21,4,FALSE)</f>
        <v>32295</v>
      </c>
      <c r="E9" s="64" t="str">
        <f>VLOOKUP(B9,Seznam!$A$2:$E$21,5,FALSE)</f>
        <v>Sokol Kutná Hora 'B'</v>
      </c>
      <c r="F9" s="64">
        <f>VLOOKUP(B9,'Základní část'!$AF$2:$AH$21,2,FALSE)</f>
        <v>10</v>
      </c>
      <c r="G9" s="64">
        <v>5</v>
      </c>
      <c r="H9" s="64">
        <v>203</v>
      </c>
      <c r="I9" s="71">
        <f t="shared" si="0"/>
        <v>218</v>
      </c>
      <c r="J9" s="71">
        <f>VLOOKUP(B9,'Základní část'!$AF$2:$AH$21,3,FALSE)</f>
        <v>4</v>
      </c>
      <c r="K9" s="71">
        <f>IF(B9='Finálová část'!Q$15,'Finálová část'!R$15,0)</f>
        <v>0</v>
      </c>
      <c r="L9" s="71">
        <f>IF(B9='Finálová část'!Q$16,'Finálová část'!R$16,0)</f>
        <v>1</v>
      </c>
      <c r="M9" s="71">
        <f>IF(B9='Finálová část'!Q$22,'Finálová část'!R$22,0)</f>
        <v>0</v>
      </c>
      <c r="N9" s="71">
        <f>IF(B9='Finálová část'!Q$23,'Finálová část'!R$23,0)</f>
        <v>0</v>
      </c>
      <c r="O9" s="71">
        <f>IF(B9='Finálová část'!Q$24,'Finálová část'!R$24,0)</f>
        <v>0</v>
      </c>
      <c r="P9" s="71">
        <f>IF(B9='Finálová část'!Q$25,'Finálová část'!R$25,0)</f>
        <v>0</v>
      </c>
      <c r="Q9" s="71">
        <f>IF(B9='Finálová část'!Q$27,'Finálová část'!R$27,0)</f>
        <v>0</v>
      </c>
      <c r="R9" s="71">
        <f>IF(B9='Finálová část'!Q$28,'Finálová část'!R$28,0)</f>
        <v>0</v>
      </c>
      <c r="S9" s="71">
        <f>IF(B9='Finálová část'!Q$29,'Finálová část'!R$29,0)</f>
        <v>0</v>
      </c>
      <c r="T9" s="71">
        <f>IF(B9='Finálová část'!Q$30,'Finálová část'!R$30,0)</f>
        <v>0</v>
      </c>
      <c r="U9" s="71">
        <f>IF(B9='Finálová část'!Q$32,'Finálová část'!R$32,0)</f>
        <v>0</v>
      </c>
      <c r="V9" s="71">
        <f>IF(B9='Finálová část'!Q$33,'Finálová část'!R$33,0)</f>
        <v>0</v>
      </c>
      <c r="W9" s="71">
        <f>IF(B9='Finálová část'!Q$34,'Finálová část'!R$34,0)</f>
        <v>0</v>
      </c>
      <c r="X9" s="71">
        <f>IF(B9='Finálová část'!Q$35,'Finálová část'!R$35,0)</f>
        <v>3</v>
      </c>
      <c r="Y9" s="71">
        <f>IF(B9='Finálová část'!Q$56,'Finálová část'!R$56,0)</f>
        <v>0</v>
      </c>
      <c r="Z9" s="71">
        <f>IF(B9='Finálová část'!Q$57,'Finálová část'!R$57,0)</f>
        <v>0</v>
      </c>
      <c r="AA9" s="71">
        <f>IF(B9='Finálová část'!Q$58,'Finálová část'!R$58,0)</f>
        <v>0</v>
      </c>
      <c r="AB9" s="71">
        <f>IF(B9='Finálová část'!Q$59,'Finálová část'!R$59,0)</f>
        <v>0</v>
      </c>
      <c r="AC9" s="71">
        <f>IF(B9='Finálová část'!Q$61,'Finálová část'!R$61,0)</f>
        <v>0</v>
      </c>
      <c r="AD9" s="71">
        <f>IF(B9='Finálová část'!Q$62,'Finálová část'!R$62,0)</f>
        <v>0</v>
      </c>
      <c r="AE9" s="71">
        <f>IF(B9='Finálová část'!Q$63,'Finálová část'!R$63,0)</f>
        <v>0</v>
      </c>
      <c r="AF9" s="71">
        <f>IF(B9='Finálová část'!Q$64,'Finálová část'!R$64,0)</f>
        <v>0</v>
      </c>
      <c r="AG9" s="71">
        <f>IF(B9='Finálová část'!Q$66,'Finálová část'!R$66,0)</f>
        <v>0</v>
      </c>
      <c r="AH9" s="71">
        <f>IF(B9='Finálová část'!Q$67,'Finálová část'!R$67,0)</f>
        <v>0</v>
      </c>
      <c r="AI9" s="71">
        <f>IF(B9='Finálová část'!Q$68,'Finálová část'!R$68,0)</f>
        <v>0</v>
      </c>
      <c r="AJ9" s="71">
        <f>IF(B9='Finálová část'!Q$69,'Finálová část'!R$69,0)</f>
        <v>0</v>
      </c>
      <c r="AK9" s="71">
        <f>IF(B9='Finálová část'!Q$91,'Finálová část'!R$91,0)</f>
        <v>0</v>
      </c>
      <c r="AL9" s="71">
        <f>IF(B9='Finálová část'!Q$92,'Finálová část'!R$92,0)</f>
        <v>0</v>
      </c>
      <c r="AM9" s="71">
        <f>IF(B9='Finálová část'!Q$93,'Finálová část'!R$93,0)</f>
        <v>0</v>
      </c>
      <c r="AN9" s="71">
        <f>IF(B9='Finálová část'!Q$94,'Finálová část'!R$94,0)</f>
        <v>0</v>
      </c>
      <c r="AO9" s="72">
        <f t="shared" si="1"/>
        <v>8</v>
      </c>
      <c r="AP9" s="71">
        <f t="shared" si="2"/>
        <v>226</v>
      </c>
    </row>
    <row r="10" spans="1:42" ht="15.75">
      <c r="A10" s="69" t="s">
        <v>91</v>
      </c>
      <c r="B10" s="64" t="str">
        <f>IF('Finálová část'!N35&lt;'Finálová část'!O35,'Finálová část'!D50,'Finálová část'!D52)</f>
        <v>Němec</v>
      </c>
      <c r="C10" s="64" t="str">
        <f>VLOOKUP(B10,Seznam!$A$2:$E$21,3,FALSE)</f>
        <v>Němec Martin</v>
      </c>
      <c r="D10" s="70">
        <f>VLOOKUP(B10,Seznam!$A$2:$E$21,4,FALSE)</f>
        <v>33329</v>
      </c>
      <c r="E10" s="64" t="str">
        <f>VLOOKUP(B10,Seznam!$A$2:$E$21,5,FALSE)</f>
        <v>Jiskra Zruč nad Sázavou 'A'</v>
      </c>
      <c r="F10" s="64">
        <f>VLOOKUP(B10,'Základní část'!$AF$2:$AH$21,2,FALSE)</f>
        <v>10</v>
      </c>
      <c r="G10" s="64">
        <v>5</v>
      </c>
      <c r="H10" s="64">
        <v>196</v>
      </c>
      <c r="I10" s="71">
        <f t="shared" si="0"/>
        <v>211</v>
      </c>
      <c r="J10" s="71">
        <f>VLOOKUP(B10,'Základní část'!$AF$2:$AH$21,3,FALSE)</f>
        <v>6</v>
      </c>
      <c r="K10" s="71">
        <f>IF(B10='Finálová část'!Q$15,'Finálová část'!R$15,0)</f>
        <v>0</v>
      </c>
      <c r="L10" s="71">
        <f>IF(B10='Finálová část'!Q$16,'Finálová část'!R$16,0)</f>
        <v>0</v>
      </c>
      <c r="M10" s="71">
        <f>IF(B10='Finálová část'!Q$22,'Finálová část'!R$22,0)</f>
        <v>0</v>
      </c>
      <c r="N10" s="71">
        <f>IF(B10='Finálová část'!Q$23,'Finálová část'!R$23,0)</f>
        <v>0</v>
      </c>
      <c r="O10" s="71">
        <f>IF(B10='Finálová část'!Q$24,'Finálová část'!R$24,0)</f>
        <v>0</v>
      </c>
      <c r="P10" s="71">
        <f>IF(B10='Finálová část'!Q$25,'Finálová část'!R$25,0)</f>
        <v>0</v>
      </c>
      <c r="Q10" s="71">
        <f>IF(B10='Finálová část'!Q$27,'Finálová část'!R$27,0)</f>
        <v>0</v>
      </c>
      <c r="R10" s="71">
        <f>IF(B10='Finálová část'!Q$28,'Finálová část'!R$28,0)</f>
        <v>0</v>
      </c>
      <c r="S10" s="71">
        <f>IF(B10='Finálová část'!Q$29,'Finálová část'!R$29,0)</f>
        <v>0</v>
      </c>
      <c r="T10" s="71">
        <f>IF(B10='Finálová část'!Q$30,'Finálová část'!R$30,0)</f>
        <v>0</v>
      </c>
      <c r="U10" s="71">
        <f>IF(B10='Finálová část'!Q$32,'Finálová část'!R$32,0)</f>
        <v>0</v>
      </c>
      <c r="V10" s="71">
        <f>IF(B10='Finálová část'!Q$33,'Finálová část'!R$33,0)</f>
        <v>0</v>
      </c>
      <c r="W10" s="71">
        <f>IF(B10='Finálová část'!Q$34,'Finálová část'!R$34,0)</f>
        <v>0</v>
      </c>
      <c r="X10" s="71">
        <f>IF(B10='Finálová část'!Q$35,'Finálová část'!R$35,0)</f>
        <v>0</v>
      </c>
      <c r="Y10" s="71">
        <f>IF(B10='Finálová část'!Q$56,'Finálová část'!R$56,0)</f>
        <v>0</v>
      </c>
      <c r="Z10" s="71">
        <f>IF(B10='Finálová část'!Q$57,'Finálová část'!R$57,0)</f>
        <v>0</v>
      </c>
      <c r="AA10" s="71">
        <f>IF(B10='Finálová část'!Q$58,'Finálová část'!R$58,0)</f>
        <v>0</v>
      </c>
      <c r="AB10" s="71">
        <f>IF(B10='Finálová část'!Q$59,'Finálová část'!R$59,0)</f>
        <v>0</v>
      </c>
      <c r="AC10" s="71">
        <f>IF(B10='Finálová část'!Q$61,'Finálová část'!R$61,0)</f>
        <v>0</v>
      </c>
      <c r="AD10" s="71">
        <f>IF(B10='Finálová část'!Q$62,'Finálová část'!R$62,0)</f>
        <v>0</v>
      </c>
      <c r="AE10" s="71">
        <f>IF(B10='Finálová část'!Q$63,'Finálová část'!R$63,0)</f>
        <v>0</v>
      </c>
      <c r="AF10" s="71">
        <f>IF(B10='Finálová část'!Q$64,'Finálová část'!R$64,0)</f>
        <v>0</v>
      </c>
      <c r="AG10" s="71">
        <f>IF(B10='Finálová část'!Q$66,'Finálová část'!R$66,0)</f>
        <v>0</v>
      </c>
      <c r="AH10" s="71">
        <f>IF(B10='Finálová část'!Q$67,'Finálová část'!R$67,0)</f>
        <v>0</v>
      </c>
      <c r="AI10" s="71">
        <f>IF(B10='Finálová část'!Q$68,'Finálová část'!R$68,0)</f>
        <v>0</v>
      </c>
      <c r="AJ10" s="71">
        <f>IF(B10='Finálová část'!Q$69,'Finálová část'!R$69,0)</f>
        <v>0</v>
      </c>
      <c r="AK10" s="71">
        <f>IF(B10='Finálová část'!Q$91,'Finálová část'!R$91,0)</f>
        <v>0</v>
      </c>
      <c r="AL10" s="71">
        <f>IF(B10='Finálová část'!Q$92,'Finálová část'!R$92,0)</f>
        <v>0</v>
      </c>
      <c r="AM10" s="71">
        <f>IF(B10='Finálová část'!Q$93,'Finálová část'!R$93,0)</f>
        <v>0</v>
      </c>
      <c r="AN10" s="71">
        <f>IF(B10='Finálová část'!Q$94,'Finálová část'!R$94,0)</f>
        <v>0</v>
      </c>
      <c r="AO10" s="72">
        <f t="shared" si="1"/>
        <v>6</v>
      </c>
      <c r="AP10" s="71">
        <f t="shared" si="2"/>
        <v>217</v>
      </c>
    </row>
    <row r="11" spans="1:42" ht="15.75">
      <c r="A11" s="69" t="s">
        <v>92</v>
      </c>
      <c r="B11" s="64" t="str">
        <f>'Finálová část'!E63</f>
        <v>Holinková</v>
      </c>
      <c r="C11" s="64" t="str">
        <f>VLOOKUP(B11,Seznam!$A$2:$E$21,3,FALSE)</f>
        <v>Holinková Eva</v>
      </c>
      <c r="D11" s="70">
        <f>VLOOKUP(B11,Seznam!$A$2:$E$21,4,FALSE)</f>
        <v>33239</v>
      </c>
      <c r="E11" s="64" t="str">
        <f>VLOOKUP(B11,Seznam!$A$2:$E$21,5,FALSE)</f>
        <v>Sokol Kutná Hora 'B'</v>
      </c>
      <c r="F11" s="64">
        <f>VLOOKUP(B11,'Základní část'!$AF$2:$AH$21,2,FALSE)</f>
        <v>8</v>
      </c>
      <c r="G11" s="64">
        <v>5</v>
      </c>
      <c r="H11" s="64">
        <v>189</v>
      </c>
      <c r="I11" s="71">
        <f t="shared" si="0"/>
        <v>202</v>
      </c>
      <c r="J11" s="71">
        <f>VLOOKUP(B11,'Základní část'!$AF$2:$AH$21,3,FALSE)</f>
        <v>3</v>
      </c>
      <c r="K11" s="71">
        <f>IF(B11='Finálová část'!Q$15,'Finálová část'!R$15,0)</f>
        <v>0</v>
      </c>
      <c r="L11" s="71">
        <f>IF(B11='Finálová část'!Q$16,'Finálová část'!R$16,0)</f>
        <v>0</v>
      </c>
      <c r="M11" s="71">
        <f>IF(B11='Finálová část'!Q$22,'Finálová část'!R$22,0)</f>
        <v>0</v>
      </c>
      <c r="N11" s="71">
        <f>IF(B11='Finálová část'!Q$23,'Finálová část'!R$23,0)</f>
        <v>0</v>
      </c>
      <c r="O11" s="71">
        <f>IF(B11='Finálová část'!Q$24,'Finálová část'!R$24,0)</f>
        <v>0</v>
      </c>
      <c r="P11" s="71">
        <f>IF(B11='Finálová část'!Q$25,'Finálová část'!R$25,0)</f>
        <v>0</v>
      </c>
      <c r="Q11" s="71">
        <f>IF(B11='Finálová část'!Q$27,'Finálová část'!R$27,0)</f>
        <v>0</v>
      </c>
      <c r="R11" s="71">
        <f>IF(B11='Finálová část'!Q$28,'Finálová část'!R$28,0)</f>
        <v>0</v>
      </c>
      <c r="S11" s="71">
        <f>IF(B11='Finálová část'!Q$29,'Finálová část'!R$29,0)</f>
        <v>0</v>
      </c>
      <c r="T11" s="71">
        <f>IF(B11='Finálová část'!Q$30,'Finálová část'!R$30,0)</f>
        <v>0</v>
      </c>
      <c r="U11" s="71">
        <f>IF(B11='Finálová část'!Q$32,'Finálová část'!R$32,0)</f>
        <v>0</v>
      </c>
      <c r="V11" s="71">
        <f>IF(B11='Finálová část'!Q$33,'Finálová část'!R$33,0)</f>
        <v>0</v>
      </c>
      <c r="W11" s="71">
        <f>IF(B11='Finálová část'!Q$34,'Finálová část'!R$34,0)</f>
        <v>0</v>
      </c>
      <c r="X11" s="71">
        <f>IF(B11='Finálová část'!Q$35,'Finálová část'!R$35,0)</f>
        <v>0</v>
      </c>
      <c r="Y11" s="71">
        <f>IF(B11='Finálová část'!Q$56,'Finálová část'!R$56,0)</f>
        <v>0</v>
      </c>
      <c r="Z11" s="71">
        <f>IF(B11='Finálová část'!Q$57,'Finálová část'!R$57,0)</f>
        <v>0</v>
      </c>
      <c r="AA11" s="71">
        <f>IF(B11='Finálová část'!Q$58,'Finálová část'!R$58,0)</f>
        <v>0</v>
      </c>
      <c r="AB11" s="71">
        <f>IF(B11='Finálová část'!Q$59,'Finálová část'!R$59,0)</f>
        <v>0</v>
      </c>
      <c r="AC11" s="71">
        <f>IF(B11='Finálová část'!Q$61,'Finálová část'!R$61,0)</f>
        <v>0</v>
      </c>
      <c r="AD11" s="71">
        <f>IF(B11='Finálová část'!Q$62,'Finálová část'!R$62,0)</f>
        <v>0</v>
      </c>
      <c r="AE11" s="71">
        <f>IF(B11='Finálová část'!Q$63,'Finálová část'!R$63,0)</f>
        <v>0</v>
      </c>
      <c r="AF11" s="71">
        <f>IF(B11='Finálová část'!Q$64,'Finálová část'!R$64,0)</f>
        <v>0</v>
      </c>
      <c r="AG11" s="71">
        <f>IF(B11='Finálová část'!Q$66,'Finálová část'!R$66,0)</f>
        <v>3</v>
      </c>
      <c r="AH11" s="71">
        <f>IF(B11='Finálová část'!Q$67,'Finálová část'!R$67,0)</f>
        <v>0</v>
      </c>
      <c r="AI11" s="71">
        <f>IF(B11='Finálová část'!Q$68,'Finálová část'!R$68,0)</f>
        <v>0</v>
      </c>
      <c r="AJ11" s="71">
        <f>IF(B11='Finálová část'!Q$69,'Finálová část'!R$69,0)</f>
        <v>0</v>
      </c>
      <c r="AK11" s="71">
        <f>IF(B11='Finálová část'!Q$91,'Finálová část'!R$91,0)</f>
        <v>0</v>
      </c>
      <c r="AL11" s="71">
        <f>IF(B11='Finálová část'!Q$92,'Finálová část'!R$92,0)</f>
        <v>0</v>
      </c>
      <c r="AM11" s="71">
        <f>IF(B11='Finálová část'!Q$93,'Finálová část'!R$93,0)</f>
        <v>0</v>
      </c>
      <c r="AN11" s="71">
        <f>IF(B11='Finálová část'!Q$94,'Finálová část'!R$94,0)</f>
        <v>0</v>
      </c>
      <c r="AO11" s="72">
        <f t="shared" si="1"/>
        <v>6</v>
      </c>
      <c r="AP11" s="71">
        <f t="shared" si="2"/>
        <v>208</v>
      </c>
    </row>
    <row r="12" spans="1:42" ht="15.75">
      <c r="A12" s="69" t="s">
        <v>93</v>
      </c>
      <c r="B12" s="64" t="str">
        <f>IF('Finálová část'!N66&lt;'Finálová část'!O66,'Finálová část'!D59,'Finálová část'!D67)</f>
        <v>Smékal</v>
      </c>
      <c r="C12" s="64" t="str">
        <f>VLOOKUP(B12,Seznam!$A$2:$E$21,3,FALSE)</f>
        <v>Smékal Jan</v>
      </c>
      <c r="D12" s="70">
        <f>VLOOKUP(B12,Seznam!$A$2:$E$21,4,FALSE)</f>
        <v>32721</v>
      </c>
      <c r="E12" s="64" t="str">
        <f>VLOOKUP(B12,Seznam!$A$2:$E$21,5,FALSE)</f>
        <v>Sokol Čáslav</v>
      </c>
      <c r="F12" s="64">
        <f>VLOOKUP(B12,'Základní část'!$AF$2:$AH$21,2,FALSE)</f>
        <v>6</v>
      </c>
      <c r="G12" s="64">
        <v>5</v>
      </c>
      <c r="H12" s="64">
        <v>182</v>
      </c>
      <c r="I12" s="71">
        <f t="shared" si="0"/>
        <v>193</v>
      </c>
      <c r="J12" s="71">
        <f>VLOOKUP(B12,'Základní část'!$AF$2:$AH$21,3,FALSE)</f>
        <v>0</v>
      </c>
      <c r="K12" s="71">
        <f>IF(B12='Finálová část'!Q$15,'Finálová část'!R$15,0)</f>
        <v>0</v>
      </c>
      <c r="L12" s="71">
        <f>IF(B12='Finálová část'!Q$16,'Finálová část'!R$16,0)</f>
        <v>0</v>
      </c>
      <c r="M12" s="71">
        <f>IF(B12='Finálová část'!Q$22,'Finálová část'!R$22,0)</f>
        <v>0</v>
      </c>
      <c r="N12" s="71">
        <f>IF(B12='Finálová část'!Q$23,'Finálová část'!R$23,0)</f>
        <v>0</v>
      </c>
      <c r="O12" s="71">
        <f>IF(B12='Finálová část'!Q$24,'Finálová část'!R$24,0)</f>
        <v>0</v>
      </c>
      <c r="P12" s="71">
        <f>IF(B12='Finálová část'!Q$25,'Finálová část'!R$25,0)</f>
        <v>0</v>
      </c>
      <c r="Q12" s="71">
        <f>IF(B12='Finálová část'!Q$27,'Finálová část'!R$27,0)</f>
        <v>0</v>
      </c>
      <c r="R12" s="71">
        <f>IF(B12='Finálová část'!Q$28,'Finálová část'!R$28,0)</f>
        <v>0</v>
      </c>
      <c r="S12" s="71">
        <f>IF(B12='Finálová část'!Q$29,'Finálová část'!R$29,0)</f>
        <v>0</v>
      </c>
      <c r="T12" s="71">
        <f>IF(B12='Finálová část'!Q$30,'Finálová část'!R$30,0)</f>
        <v>0</v>
      </c>
      <c r="U12" s="71">
        <f>IF(B12='Finálová část'!Q$32,'Finálová část'!R$32,0)</f>
        <v>0</v>
      </c>
      <c r="V12" s="71">
        <f>IF(B12='Finálová část'!Q$33,'Finálová část'!R$33,0)</f>
        <v>0</v>
      </c>
      <c r="W12" s="71">
        <f>IF(B12='Finálová část'!Q$34,'Finálová část'!R$34,0)</f>
        <v>0</v>
      </c>
      <c r="X12" s="71">
        <f>IF(B12='Finálová část'!Q$35,'Finálová část'!R$35,0)</f>
        <v>0</v>
      </c>
      <c r="Y12" s="71">
        <f>IF(B12='Finálová část'!Q$56,'Finálová část'!R$56,0)</f>
        <v>0</v>
      </c>
      <c r="Z12" s="71">
        <f>IF(B12='Finálová část'!Q$57,'Finálová část'!R$57,0)</f>
        <v>1</v>
      </c>
      <c r="AA12" s="71">
        <f>IF(B12='Finálová část'!Q$58,'Finálová část'!R$58,0)</f>
        <v>0</v>
      </c>
      <c r="AB12" s="71">
        <f>IF(B12='Finálová část'!Q$59,'Finálová část'!R$59,0)</f>
        <v>0</v>
      </c>
      <c r="AC12" s="71">
        <f>IF(B12='Finálová část'!Q$61,'Finálová část'!R$61,0)</f>
        <v>2</v>
      </c>
      <c r="AD12" s="71">
        <f>IF(B12='Finálová část'!Q$62,'Finálová část'!R$62,0)</f>
        <v>0</v>
      </c>
      <c r="AE12" s="71">
        <f>IF(B12='Finálová část'!Q$63,'Finálová část'!R$63,0)</f>
        <v>0</v>
      </c>
      <c r="AF12" s="71">
        <f>IF(B12='Finálová část'!Q$64,'Finálová část'!R$64,0)</f>
        <v>0</v>
      </c>
      <c r="AG12" s="71">
        <f>IF(B12='Finálová část'!Q$66,'Finálová část'!R$66,0)</f>
        <v>0</v>
      </c>
      <c r="AH12" s="71">
        <f>IF(B12='Finálová část'!Q$67,'Finálová část'!R$67,0)</f>
        <v>0</v>
      </c>
      <c r="AI12" s="71">
        <f>IF(B12='Finálová část'!Q$68,'Finálová část'!R$68,0)</f>
        <v>0</v>
      </c>
      <c r="AJ12" s="71">
        <f>IF(B12='Finálová část'!Q$69,'Finálová část'!R$69,0)</f>
        <v>0</v>
      </c>
      <c r="AK12" s="71">
        <f>IF(B12='Finálová část'!Q$91,'Finálová část'!R$91,0)</f>
        <v>0</v>
      </c>
      <c r="AL12" s="71">
        <f>IF(B12='Finálová část'!Q$92,'Finálová část'!R$92,0)</f>
        <v>0</v>
      </c>
      <c r="AM12" s="71">
        <f>IF(B12='Finálová část'!Q$93,'Finálová část'!R$93,0)</f>
        <v>0</v>
      </c>
      <c r="AN12" s="71">
        <f>IF(B12='Finálová část'!Q$94,'Finálová část'!R$94,0)</f>
        <v>0</v>
      </c>
      <c r="AO12" s="72">
        <f t="shared" si="1"/>
        <v>3</v>
      </c>
      <c r="AP12" s="71">
        <f t="shared" si="2"/>
        <v>196</v>
      </c>
    </row>
    <row r="13" spans="1:42" ht="15.75">
      <c r="A13" s="69" t="s">
        <v>94</v>
      </c>
      <c r="B13" s="64" t="str">
        <f>'Finálová část'!E73</f>
        <v>Mottl</v>
      </c>
      <c r="C13" s="64" t="str">
        <f>VLOOKUP(B13,Seznam!$A$2:$E$21,3,FALSE)</f>
        <v>Mottl Martin</v>
      </c>
      <c r="D13" s="70">
        <f>VLOOKUP(B13,Seznam!$A$2:$E$21,4,FALSE)</f>
        <v>32599</v>
      </c>
      <c r="E13" s="64" t="str">
        <f>VLOOKUP(B13,Seznam!$A$2:$E$21,5,FALSE)</f>
        <v>Sokol Malešov</v>
      </c>
      <c r="F13" s="64">
        <f>VLOOKUP(B13,'Základní část'!$AF$2:$AH$21,2,FALSE)</f>
        <v>8</v>
      </c>
      <c r="G13" s="64">
        <v>5</v>
      </c>
      <c r="H13" s="64">
        <v>175</v>
      </c>
      <c r="I13" s="71">
        <f t="shared" si="0"/>
        <v>188</v>
      </c>
      <c r="J13" s="71">
        <f>VLOOKUP(B13,'Základní část'!$AF$2:$AH$21,3,FALSE)</f>
        <v>2</v>
      </c>
      <c r="K13" s="71">
        <f>IF(B13='Finálová část'!Q$15,'Finálová část'!R$15,0)</f>
        <v>0</v>
      </c>
      <c r="L13" s="71">
        <f>IF(B13='Finálová část'!Q$16,'Finálová část'!R$16,0)</f>
        <v>0</v>
      </c>
      <c r="M13" s="71">
        <f>IF(B13='Finálová část'!Q$22,'Finálová část'!R$22,0)</f>
        <v>0</v>
      </c>
      <c r="N13" s="71">
        <f>IF(B13='Finálová část'!Q$23,'Finálová část'!R$23,0)</f>
        <v>0</v>
      </c>
      <c r="O13" s="71">
        <f>IF(B13='Finálová část'!Q$24,'Finálová část'!R$24,0)</f>
        <v>0</v>
      </c>
      <c r="P13" s="71">
        <f>IF(B13='Finálová část'!Q$25,'Finálová část'!R$25,0)</f>
        <v>0</v>
      </c>
      <c r="Q13" s="71">
        <f>IF(B13='Finálová část'!Q$27,'Finálová část'!R$27,0)</f>
        <v>0</v>
      </c>
      <c r="R13" s="71">
        <f>IF(B13='Finálová část'!Q$28,'Finálová část'!R$28,0)</f>
        <v>0</v>
      </c>
      <c r="S13" s="71">
        <f>IF(B13='Finálová část'!Q$29,'Finálová část'!R$29,0)</f>
        <v>0</v>
      </c>
      <c r="T13" s="71">
        <f>IF(B13='Finálová část'!Q$30,'Finálová část'!R$30,0)</f>
        <v>0</v>
      </c>
      <c r="U13" s="71">
        <f>IF(B13='Finálová část'!Q$32,'Finálová část'!R$32,0)</f>
        <v>0</v>
      </c>
      <c r="V13" s="71">
        <f>IF(B13='Finálová část'!Q$33,'Finálová část'!R$33,0)</f>
        <v>0</v>
      </c>
      <c r="W13" s="71">
        <f>IF(B13='Finálová část'!Q$34,'Finálová část'!R$34,0)</f>
        <v>0</v>
      </c>
      <c r="X13" s="71">
        <f>IF(B13='Finálová část'!Q$35,'Finálová část'!R$35,0)</f>
        <v>0</v>
      </c>
      <c r="Y13" s="71">
        <f>IF(B13='Finálová část'!Q$56,'Finálová část'!R$56,0)</f>
        <v>0</v>
      </c>
      <c r="Z13" s="71">
        <f>IF(B13='Finálová část'!Q$57,'Finálová část'!R$57,0)</f>
        <v>0</v>
      </c>
      <c r="AA13" s="71">
        <f>IF(B13='Finálová část'!Q$58,'Finálová část'!R$58,0)</f>
        <v>2</v>
      </c>
      <c r="AB13" s="71">
        <f>IF(B13='Finálová část'!Q$59,'Finálová část'!R$59,0)</f>
        <v>0</v>
      </c>
      <c r="AC13" s="71">
        <f>IF(B13='Finálová část'!Q$61,'Finálová část'!R$61,0)</f>
        <v>0</v>
      </c>
      <c r="AD13" s="71">
        <f>IF(B13='Finálová část'!Q$62,'Finálová část'!R$62,0)</f>
        <v>0</v>
      </c>
      <c r="AE13" s="71">
        <f>IF(B13='Finálová část'!Q$63,'Finálová část'!R$63,0)</f>
        <v>0</v>
      </c>
      <c r="AF13" s="71">
        <f>IF(B13='Finálová část'!Q$64,'Finálová část'!R$64,0)</f>
        <v>0</v>
      </c>
      <c r="AG13" s="71">
        <f>IF(B13='Finálová část'!Q$66,'Finálová část'!R$66,0)</f>
        <v>0</v>
      </c>
      <c r="AH13" s="71">
        <f>IF(B13='Finálová část'!Q$67,'Finálová část'!R$67,0)</f>
        <v>2</v>
      </c>
      <c r="AI13" s="71">
        <f>IF(B13='Finálová část'!Q$68,'Finálová část'!R$68,0)</f>
        <v>0</v>
      </c>
      <c r="AJ13" s="71">
        <f>IF(B13='Finálová část'!Q$69,'Finálová část'!R$69,0)</f>
        <v>0</v>
      </c>
      <c r="AK13" s="71">
        <f>IF(B13='Finálová část'!Q$91,'Finálová část'!R$91,0)</f>
        <v>0</v>
      </c>
      <c r="AL13" s="71">
        <f>IF(B13='Finálová část'!Q$92,'Finálová část'!R$92,0)</f>
        <v>0</v>
      </c>
      <c r="AM13" s="71">
        <f>IF(B13='Finálová část'!Q$93,'Finálová část'!R$93,0)</f>
        <v>0</v>
      </c>
      <c r="AN13" s="71">
        <f>IF(B13='Finálová část'!Q$94,'Finálová část'!R$94,0)</f>
        <v>0</v>
      </c>
      <c r="AO13" s="72">
        <f t="shared" si="1"/>
        <v>6</v>
      </c>
      <c r="AP13" s="71">
        <f t="shared" si="2"/>
        <v>194</v>
      </c>
    </row>
    <row r="14" spans="1:42" ht="15.75">
      <c r="A14" s="69" t="s">
        <v>95</v>
      </c>
      <c r="B14" s="64" t="str">
        <f>IF('Finálová část'!N67&lt;'Finálová část'!O67,'Finálová část'!D72,'Finálová část'!D74)</f>
        <v>Vrána</v>
      </c>
      <c r="C14" s="64" t="str">
        <f>VLOOKUP(B14,Seznam!$A$2:$E$21,3,FALSE)</f>
        <v>Vrána Radek</v>
      </c>
      <c r="D14" s="70">
        <f>VLOOKUP(B14,Seznam!$A$2:$E$21,4,FALSE)</f>
        <v>32843</v>
      </c>
      <c r="E14" s="64" t="str">
        <f>VLOOKUP(B14,Seznam!$A$2:$E$21,5,FALSE)</f>
        <v>Sokol Čáslav</v>
      </c>
      <c r="F14" s="64">
        <f>VLOOKUP(B14,'Základní část'!$AF$2:$AH$21,2,FALSE)</f>
        <v>8</v>
      </c>
      <c r="G14" s="64">
        <v>5</v>
      </c>
      <c r="H14" s="64">
        <v>168</v>
      </c>
      <c r="I14" s="71">
        <f t="shared" si="0"/>
        <v>181</v>
      </c>
      <c r="J14" s="71">
        <f>VLOOKUP(B14,'Základní část'!$AF$2:$AH$21,3,FALSE)</f>
        <v>2</v>
      </c>
      <c r="K14" s="71">
        <f>IF(B14='Finálová část'!Q$15,'Finálová část'!R$15,0)</f>
        <v>0</v>
      </c>
      <c r="L14" s="71">
        <f>IF(B14='Finálová část'!Q$16,'Finálová část'!R$16,0)</f>
        <v>0</v>
      </c>
      <c r="M14" s="71">
        <f>IF(B14='Finálová část'!Q$22,'Finálová část'!R$22,0)</f>
        <v>0</v>
      </c>
      <c r="N14" s="71">
        <f>IF(B14='Finálová část'!Q$23,'Finálová část'!R$23,0)</f>
        <v>0</v>
      </c>
      <c r="O14" s="71">
        <f>IF(B14='Finálová část'!Q$24,'Finálová část'!R$24,0)</f>
        <v>0</v>
      </c>
      <c r="P14" s="71">
        <f>IF(B14='Finálová část'!Q$25,'Finálová část'!R$25,0)</f>
        <v>0</v>
      </c>
      <c r="Q14" s="71">
        <f>IF(B14='Finálová část'!Q$27,'Finálová část'!R$27,0)</f>
        <v>0</v>
      </c>
      <c r="R14" s="71">
        <f>IF(B14='Finálová část'!Q$28,'Finálová část'!R$28,0)</f>
        <v>0</v>
      </c>
      <c r="S14" s="71">
        <f>IF(B14='Finálová část'!Q$29,'Finálová část'!R$29,0)</f>
        <v>0</v>
      </c>
      <c r="T14" s="71">
        <f>IF(B14='Finálová část'!Q$30,'Finálová část'!R$30,0)</f>
        <v>0</v>
      </c>
      <c r="U14" s="71">
        <f>IF(B14='Finálová část'!Q$32,'Finálová část'!R$32,0)</f>
        <v>0</v>
      </c>
      <c r="V14" s="71">
        <f>IF(B14='Finálová část'!Q$33,'Finálová část'!R$33,0)</f>
        <v>0</v>
      </c>
      <c r="W14" s="71">
        <f>IF(B14='Finálová část'!Q$34,'Finálová část'!R$34,0)</f>
        <v>0</v>
      </c>
      <c r="X14" s="71">
        <f>IF(B14='Finálová část'!Q$35,'Finálová část'!R$35,0)</f>
        <v>0</v>
      </c>
      <c r="Y14" s="71">
        <f>IF(B14='Finálová část'!Q$56,'Finálová část'!R$56,0)</f>
        <v>1</v>
      </c>
      <c r="Z14" s="71">
        <f>IF(B14='Finálová část'!Q$57,'Finálová část'!R$57,0)</f>
        <v>0</v>
      </c>
      <c r="AA14" s="71">
        <f>IF(B14='Finálová část'!Q$58,'Finálová část'!R$58,0)</f>
        <v>0</v>
      </c>
      <c r="AB14" s="71">
        <f>IF(B14='Finálová část'!Q$59,'Finálová část'!R$59,0)</f>
        <v>0</v>
      </c>
      <c r="AC14" s="71">
        <f>IF(B14='Finálová část'!Q$61,'Finálová část'!R$61,0)</f>
        <v>0</v>
      </c>
      <c r="AD14" s="71">
        <f>IF(B14='Finálová část'!Q$62,'Finálová část'!R$62,0)</f>
        <v>0</v>
      </c>
      <c r="AE14" s="71">
        <f>IF(B14='Finálová část'!Q$63,'Finálová část'!R$63,0)</f>
        <v>0</v>
      </c>
      <c r="AF14" s="71">
        <f>IF(B14='Finálová část'!Q$64,'Finálová část'!R$64,0)</f>
        <v>0</v>
      </c>
      <c r="AG14" s="71">
        <f>IF(B14='Finálová část'!Q$66,'Finálová část'!R$66,0)</f>
        <v>0</v>
      </c>
      <c r="AH14" s="71">
        <f>IF(B14='Finálová část'!Q$67,'Finálová část'!R$67,0)</f>
        <v>0</v>
      </c>
      <c r="AI14" s="71">
        <f>IF(B14='Finálová část'!Q$68,'Finálová část'!R$68,0)</f>
        <v>0</v>
      </c>
      <c r="AJ14" s="71">
        <f>IF(B14='Finálová část'!Q$69,'Finálová část'!R$69,0)</f>
        <v>0</v>
      </c>
      <c r="AK14" s="71">
        <f>IF(B14='Finálová část'!Q$91,'Finálová část'!R$91,0)</f>
        <v>0</v>
      </c>
      <c r="AL14" s="71">
        <f>IF(B14='Finálová část'!Q$92,'Finálová část'!R$92,0)</f>
        <v>0</v>
      </c>
      <c r="AM14" s="71">
        <f>IF(B14='Finálová část'!Q$93,'Finálová část'!R$93,0)</f>
        <v>0</v>
      </c>
      <c r="AN14" s="71">
        <f>IF(B14='Finálová část'!Q$94,'Finálová část'!R$94,0)</f>
        <v>0</v>
      </c>
      <c r="AO14" s="72">
        <f t="shared" si="1"/>
        <v>3</v>
      </c>
      <c r="AP14" s="71">
        <f t="shared" si="2"/>
        <v>184</v>
      </c>
    </row>
    <row r="15" spans="1:42" ht="15.75">
      <c r="A15" s="69" t="s">
        <v>96</v>
      </c>
      <c r="B15" s="64" t="str">
        <f>'Finálová část'!E79</f>
        <v>Zajakov</v>
      </c>
      <c r="C15" s="64" t="str">
        <f>VLOOKUP(B15,Seznam!$A$2:$E$21,3,FALSE)</f>
        <v>Zajakov Petr</v>
      </c>
      <c r="D15" s="70">
        <f>VLOOKUP(B15,Seznam!$A$2:$E$21,4,FALSE)</f>
        <v>32964</v>
      </c>
      <c r="E15" s="64" t="str">
        <f>VLOOKUP(B15,Seznam!$A$2:$E$21,5,FALSE)</f>
        <v>Jiskra Zruč nad Sázavou 'B'</v>
      </c>
      <c r="F15" s="64">
        <f>VLOOKUP(B15,'Základní část'!$AF$2:$AH$21,2,FALSE)</f>
        <v>10</v>
      </c>
      <c r="G15" s="64">
        <v>5</v>
      </c>
      <c r="H15" s="64">
        <v>161</v>
      </c>
      <c r="I15" s="71">
        <f t="shared" si="0"/>
        <v>176</v>
      </c>
      <c r="J15" s="71">
        <f>VLOOKUP(B15,'Základní část'!$AF$2:$AH$21,3,FALSE)</f>
        <v>1</v>
      </c>
      <c r="K15" s="71">
        <f>IF(B15='Finálová část'!Q$15,'Finálová část'!R$15,0)</f>
        <v>0</v>
      </c>
      <c r="L15" s="71">
        <f>IF(B15='Finálová část'!Q$16,'Finálová část'!R$16,0)</f>
        <v>0</v>
      </c>
      <c r="M15" s="71">
        <f>IF(B15='Finálová část'!Q$22,'Finálová část'!R$22,0)</f>
        <v>0</v>
      </c>
      <c r="N15" s="71">
        <f>IF(B15='Finálová část'!Q$23,'Finálová část'!R$23,0)</f>
        <v>0</v>
      </c>
      <c r="O15" s="71">
        <f>IF(B15='Finálová část'!Q$24,'Finálová část'!R$24,0)</f>
        <v>0</v>
      </c>
      <c r="P15" s="71">
        <f>IF(B15='Finálová část'!Q$25,'Finálová část'!R$25,0)</f>
        <v>0</v>
      </c>
      <c r="Q15" s="71">
        <f>IF(B15='Finálová část'!Q$27,'Finálová část'!R$27,0)</f>
        <v>0</v>
      </c>
      <c r="R15" s="71">
        <f>IF(B15='Finálová část'!Q$28,'Finálová část'!R$28,0)</f>
        <v>0</v>
      </c>
      <c r="S15" s="71">
        <f>IF(B15='Finálová část'!Q$29,'Finálová část'!R$29,0)</f>
        <v>0</v>
      </c>
      <c r="T15" s="71">
        <f>IF(B15='Finálová část'!Q$30,'Finálová část'!R$30,0)</f>
        <v>0</v>
      </c>
      <c r="U15" s="71">
        <f>IF(B15='Finálová část'!Q$32,'Finálová část'!R$32,0)</f>
        <v>0</v>
      </c>
      <c r="V15" s="71">
        <f>IF(B15='Finálová část'!Q$33,'Finálová část'!R$33,0)</f>
        <v>0</v>
      </c>
      <c r="W15" s="71">
        <f>IF(B15='Finálová část'!Q$34,'Finálová část'!R$34,0)</f>
        <v>0</v>
      </c>
      <c r="X15" s="71">
        <f>IF(B15='Finálová část'!Q$35,'Finálová část'!R$35,0)</f>
        <v>0</v>
      </c>
      <c r="Y15" s="71">
        <f>IF(B15='Finálová část'!Q$56,'Finálová část'!R$56,0)</f>
        <v>0</v>
      </c>
      <c r="Z15" s="71">
        <f>IF(B15='Finálová část'!Q$57,'Finálová část'!R$57,0)</f>
        <v>0</v>
      </c>
      <c r="AA15" s="71">
        <f>IF(B15='Finálová část'!Q$58,'Finálová část'!R$58,0)</f>
        <v>0</v>
      </c>
      <c r="AB15" s="71">
        <f>IF(B15='Finálová část'!Q$59,'Finálová část'!R$59,0)</f>
        <v>0</v>
      </c>
      <c r="AC15" s="71">
        <f>IF(B15='Finálová část'!Q$61,'Finálová část'!R$61,0)</f>
        <v>0</v>
      </c>
      <c r="AD15" s="71">
        <f>IF(B15='Finálová část'!Q$62,'Finálová část'!R$62,0)</f>
        <v>0</v>
      </c>
      <c r="AE15" s="71">
        <f>IF(B15='Finálová část'!Q$63,'Finálová část'!R$63,0)</f>
        <v>1</v>
      </c>
      <c r="AF15" s="71">
        <f>IF(B15='Finálová část'!Q$64,'Finálová část'!R$64,0)</f>
        <v>0</v>
      </c>
      <c r="AG15" s="71">
        <f>IF(B15='Finálová část'!Q$66,'Finálová část'!R$66,0)</f>
        <v>0</v>
      </c>
      <c r="AH15" s="71">
        <f>IF(B15='Finálová část'!Q$67,'Finálová část'!R$67,0)</f>
        <v>0</v>
      </c>
      <c r="AI15" s="71">
        <f>IF(B15='Finálová část'!Q$68,'Finálová část'!R$68,0)</f>
        <v>2</v>
      </c>
      <c r="AJ15" s="71">
        <f>IF(B15='Finálová část'!Q$69,'Finálová část'!R$69,0)</f>
        <v>0</v>
      </c>
      <c r="AK15" s="71">
        <f>IF(B15='Finálová část'!Q$91,'Finálová část'!R$91,0)</f>
        <v>0</v>
      </c>
      <c r="AL15" s="71">
        <f>IF(B15='Finálová část'!Q$92,'Finálová část'!R$92,0)</f>
        <v>0</v>
      </c>
      <c r="AM15" s="71">
        <f>IF(B15='Finálová část'!Q$93,'Finálová část'!R$93,0)</f>
        <v>0</v>
      </c>
      <c r="AN15" s="71">
        <f>IF(B15='Finálová část'!Q$94,'Finálová část'!R$94,0)</f>
        <v>0</v>
      </c>
      <c r="AO15" s="72">
        <f t="shared" si="1"/>
        <v>4</v>
      </c>
      <c r="AP15" s="71">
        <f t="shared" si="2"/>
        <v>180</v>
      </c>
    </row>
    <row r="16" spans="1:42" ht="15.75">
      <c r="A16" s="69" t="s">
        <v>97</v>
      </c>
      <c r="B16" s="64" t="str">
        <f>IF('Finálová část'!N68&lt;'Finálová část'!O68,'Finálová část'!D77,'Finálová část'!D81)</f>
        <v>Šašinka</v>
      </c>
      <c r="C16" s="64" t="str">
        <f>VLOOKUP(B16,Seznam!$A$2:$E$21,3,FALSE)</f>
        <v>Šašinka Petr</v>
      </c>
      <c r="D16" s="70">
        <f>VLOOKUP(B16,Seznam!$A$2:$E$21,4,FALSE)</f>
        <v>32264</v>
      </c>
      <c r="E16" s="64" t="str">
        <f>VLOOKUP(B16,Seznam!$A$2:$E$21,5,FALSE)</f>
        <v>Jiskra Zruč nad Sázavou 'B'</v>
      </c>
      <c r="F16" s="64">
        <f>VLOOKUP(B16,'Základní část'!$AF$2:$AH$21,2,FALSE)</f>
        <v>6</v>
      </c>
      <c r="G16" s="64">
        <v>5</v>
      </c>
      <c r="H16" s="64">
        <v>154</v>
      </c>
      <c r="I16" s="71">
        <f t="shared" si="0"/>
        <v>165</v>
      </c>
      <c r="J16" s="71">
        <f>VLOOKUP(B16,'Základní část'!$AF$2:$AH$21,3,FALSE)</f>
        <v>0</v>
      </c>
      <c r="K16" s="71">
        <f>IF(B16='Finálová část'!Q$15,'Finálová část'!R$15,0)</f>
        <v>0</v>
      </c>
      <c r="L16" s="71">
        <f>IF(B16='Finálová část'!Q$16,'Finálová část'!R$16,0)</f>
        <v>0</v>
      </c>
      <c r="M16" s="71">
        <f>IF(B16='Finálová část'!Q$22,'Finálová část'!R$22,0)</f>
        <v>0</v>
      </c>
      <c r="N16" s="71">
        <f>IF(B16='Finálová část'!Q$23,'Finálová část'!R$23,0)</f>
        <v>0</v>
      </c>
      <c r="O16" s="71">
        <f>IF(B16='Finálová část'!Q$24,'Finálová část'!R$24,0)</f>
        <v>0</v>
      </c>
      <c r="P16" s="71">
        <f>IF(B16='Finálová část'!Q$25,'Finálová část'!R$25,0)</f>
        <v>0</v>
      </c>
      <c r="Q16" s="71">
        <f>IF(B16='Finálová část'!Q$27,'Finálová část'!R$27,0)</f>
        <v>0</v>
      </c>
      <c r="R16" s="71">
        <f>IF(B16='Finálová část'!Q$28,'Finálová část'!R$28,0)</f>
        <v>0</v>
      </c>
      <c r="S16" s="71">
        <f>IF(B16='Finálová část'!Q$29,'Finálová část'!R$29,0)</f>
        <v>0</v>
      </c>
      <c r="T16" s="71">
        <f>IF(B16='Finálová část'!Q$30,'Finálová část'!R$30,0)</f>
        <v>0</v>
      </c>
      <c r="U16" s="71">
        <f>IF(B16='Finálová část'!Q$32,'Finálová část'!R$32,0)</f>
        <v>0</v>
      </c>
      <c r="V16" s="71">
        <f>IF(B16='Finálová část'!Q$33,'Finálová část'!R$33,0)</f>
        <v>0</v>
      </c>
      <c r="W16" s="71">
        <f>IF(B16='Finálová část'!Q$34,'Finálová část'!R$34,0)</f>
        <v>0</v>
      </c>
      <c r="X16" s="71">
        <f>IF(B16='Finálová část'!Q$35,'Finálová část'!R$35,0)</f>
        <v>0</v>
      </c>
      <c r="Y16" s="71">
        <f>IF(B16='Finálová část'!Q$56,'Finálová část'!R$56,0)</f>
        <v>0</v>
      </c>
      <c r="Z16" s="71">
        <f>IF(B16='Finálová část'!Q$57,'Finálová část'!R$57,0)</f>
        <v>0</v>
      </c>
      <c r="AA16" s="71">
        <f>IF(B16='Finálová část'!Q$58,'Finálová část'!R$58,0)</f>
        <v>0</v>
      </c>
      <c r="AB16" s="71">
        <f>IF(B16='Finálová část'!Q$59,'Finálová část'!R$59,0)</f>
        <v>0</v>
      </c>
      <c r="AC16" s="71">
        <f>IF(B16='Finálová část'!Q$61,'Finálová část'!R$61,0)</f>
        <v>0</v>
      </c>
      <c r="AD16" s="71">
        <f>IF(B16='Finálová část'!Q$62,'Finálová část'!R$62,0)</f>
        <v>0</v>
      </c>
      <c r="AE16" s="71">
        <f>IF(B16='Finálová část'!Q$63,'Finálová část'!R$63,0)</f>
        <v>0</v>
      </c>
      <c r="AF16" s="71">
        <f>IF(B16='Finálová část'!Q$64,'Finálová část'!R$64,0)</f>
        <v>0</v>
      </c>
      <c r="AG16" s="71">
        <f>IF(B16='Finálová část'!Q$66,'Finálová část'!R$66,0)</f>
        <v>0</v>
      </c>
      <c r="AH16" s="71">
        <f>IF(B16='Finálová část'!Q$67,'Finálová část'!R$67,0)</f>
        <v>0</v>
      </c>
      <c r="AI16" s="71">
        <f>IF(B16='Finálová část'!Q$68,'Finálová část'!R$68,0)</f>
        <v>0</v>
      </c>
      <c r="AJ16" s="71">
        <f>IF(B16='Finálová část'!Q$69,'Finálová část'!R$69,0)</f>
        <v>0</v>
      </c>
      <c r="AK16" s="71">
        <f>IF(B16='Finálová část'!Q$91,'Finálová část'!R$91,0)</f>
        <v>0</v>
      </c>
      <c r="AL16" s="71">
        <f>IF(B16='Finálová část'!Q$92,'Finálová část'!R$92,0)</f>
        <v>0</v>
      </c>
      <c r="AM16" s="71">
        <f>IF(B16='Finálová část'!Q$93,'Finálová část'!R$93,0)</f>
        <v>0</v>
      </c>
      <c r="AN16" s="71">
        <f>IF(B16='Finálová část'!Q$94,'Finálová část'!R$94,0)</f>
        <v>0</v>
      </c>
      <c r="AO16" s="72">
        <f t="shared" si="1"/>
        <v>0</v>
      </c>
      <c r="AP16" s="71">
        <f t="shared" si="2"/>
        <v>165</v>
      </c>
    </row>
    <row r="17" spans="1:42" ht="15.75">
      <c r="A17" s="69" t="s">
        <v>98</v>
      </c>
      <c r="B17" s="64" t="str">
        <f>'Finálová část'!E85</f>
        <v>Sosnovcová</v>
      </c>
      <c r="C17" s="64" t="str">
        <f>VLOOKUP(B17,Seznam!$A$2:$E$21,3,FALSE)</f>
        <v>Sosnovcová Eva</v>
      </c>
      <c r="D17" s="70">
        <f>VLOOKUP(B17,Seznam!$A$2:$E$21,4,FALSE)</f>
        <v>32964</v>
      </c>
      <c r="E17" s="64" t="str">
        <f>VLOOKUP(B17,Seznam!$A$2:$E$21,5,FALSE)</f>
        <v>Sokol Kutná Hora 'B'</v>
      </c>
      <c r="F17" s="64">
        <f>VLOOKUP(B17,'Základní část'!$AF$2:$AH$21,2,FALSE)</f>
        <v>8</v>
      </c>
      <c r="G17" s="64">
        <v>5</v>
      </c>
      <c r="H17" s="64">
        <v>147</v>
      </c>
      <c r="I17" s="71">
        <f t="shared" si="0"/>
        <v>160</v>
      </c>
      <c r="J17" s="71">
        <f>VLOOKUP(B17,'Základní část'!$AF$2:$AH$21,3,FALSE)</f>
        <v>0</v>
      </c>
      <c r="K17" s="71">
        <f>IF(B17='Finálová část'!Q$15,'Finálová část'!R$15,0)</f>
        <v>0</v>
      </c>
      <c r="L17" s="71">
        <f>IF(B17='Finálová část'!Q$16,'Finálová část'!R$16,0)</f>
        <v>0</v>
      </c>
      <c r="M17" s="71">
        <f>IF(B17='Finálová část'!Q$22,'Finálová část'!R$22,0)</f>
        <v>0</v>
      </c>
      <c r="N17" s="71">
        <f>IF(B17='Finálová část'!Q$23,'Finálová část'!R$23,0)</f>
        <v>0</v>
      </c>
      <c r="O17" s="71">
        <f>IF(B17='Finálová část'!Q$24,'Finálová část'!R$24,0)</f>
        <v>0</v>
      </c>
      <c r="P17" s="71">
        <f>IF(B17='Finálová část'!Q$25,'Finálová část'!R$25,0)</f>
        <v>0</v>
      </c>
      <c r="Q17" s="71">
        <f>IF(B17='Finálová část'!Q$27,'Finálová část'!R$27,0)</f>
        <v>0</v>
      </c>
      <c r="R17" s="71">
        <f>IF(B17='Finálová část'!Q$28,'Finálová část'!R$28,0)</f>
        <v>0</v>
      </c>
      <c r="S17" s="71">
        <f>IF(B17='Finálová část'!Q$29,'Finálová část'!R$29,0)</f>
        <v>0</v>
      </c>
      <c r="T17" s="71">
        <f>IF(B17='Finálová část'!Q$30,'Finálová část'!R$30,0)</f>
        <v>0</v>
      </c>
      <c r="U17" s="71">
        <f>IF(B17='Finálová část'!Q$32,'Finálová část'!R$32,0)</f>
        <v>0</v>
      </c>
      <c r="V17" s="71">
        <f>IF(B17='Finálová část'!Q$33,'Finálová část'!R$33,0)</f>
        <v>0</v>
      </c>
      <c r="W17" s="71">
        <f>IF(B17='Finálová část'!Q$34,'Finálová část'!R$34,0)</f>
        <v>0</v>
      </c>
      <c r="X17" s="71">
        <f>IF(B17='Finálová část'!Q$35,'Finálová část'!R$35,0)</f>
        <v>0</v>
      </c>
      <c r="Y17" s="71">
        <f>IF(B17='Finálová část'!Q$56,'Finálová část'!R$56,0)</f>
        <v>0</v>
      </c>
      <c r="Z17" s="71">
        <f>IF(B17='Finálová část'!Q$57,'Finálová část'!R$57,0)</f>
        <v>0</v>
      </c>
      <c r="AA17" s="71">
        <f>IF(B17='Finálová část'!Q$58,'Finálová část'!R$58,0)</f>
        <v>0</v>
      </c>
      <c r="AB17" s="71">
        <f>IF(B17='Finálová část'!Q$59,'Finálová část'!R$59,0)</f>
        <v>0</v>
      </c>
      <c r="AC17" s="71">
        <f>IF(B17='Finálová část'!Q$61,'Finálová část'!R$61,0)</f>
        <v>0</v>
      </c>
      <c r="AD17" s="71">
        <f>IF(B17='Finálová část'!Q$62,'Finálová část'!R$62,0)</f>
        <v>0</v>
      </c>
      <c r="AE17" s="71">
        <f>IF(B17='Finálová část'!Q$63,'Finálová část'!R$63,0)</f>
        <v>0</v>
      </c>
      <c r="AF17" s="71">
        <f>IF(B17='Finálová část'!Q$64,'Finálová část'!R$64,0)</f>
        <v>0</v>
      </c>
      <c r="AG17" s="71">
        <f>IF(B17='Finálová část'!Q$66,'Finálová část'!R$66,0)</f>
        <v>0</v>
      </c>
      <c r="AH17" s="71">
        <f>IF(B17='Finálová část'!Q$67,'Finálová část'!R$67,0)</f>
        <v>0</v>
      </c>
      <c r="AI17" s="71">
        <f>IF(B17='Finálová část'!Q$68,'Finálová část'!R$68,0)</f>
        <v>0</v>
      </c>
      <c r="AJ17" s="71">
        <f>IF(B17='Finálová část'!Q$69,'Finálová část'!R$69,0)</f>
        <v>0</v>
      </c>
      <c r="AK17" s="71">
        <f>IF(B17='Finálová část'!Q$91,'Finálová část'!R$91,0)</f>
        <v>0</v>
      </c>
      <c r="AL17" s="71">
        <f>IF(B17='Finálová část'!Q$92,'Finálová část'!R$92,0)</f>
        <v>0</v>
      </c>
      <c r="AM17" s="71">
        <f>IF(B17='Finálová část'!Q$93,'Finálová část'!R$93,0)</f>
        <v>0</v>
      </c>
      <c r="AN17" s="71">
        <f>IF(B17='Finálová část'!Q$94,'Finálová část'!R$94,0)</f>
        <v>0</v>
      </c>
      <c r="AO17" s="72">
        <f t="shared" si="1"/>
        <v>0</v>
      </c>
      <c r="AP17" s="71">
        <f t="shared" si="2"/>
        <v>160</v>
      </c>
    </row>
    <row r="18" spans="1:42" ht="15.75">
      <c r="A18" s="69" t="s">
        <v>99</v>
      </c>
      <c r="B18" s="64" t="str">
        <f>IF('Finálová část'!N69&lt;'Finálová část'!O69,'Finálová část'!D84,'Finálová část'!D86)</f>
        <v>Pipek</v>
      </c>
      <c r="C18" s="64" t="str">
        <f>VLOOKUP(B18,Seznam!$A$2:$E$21,3,FALSE)</f>
        <v>Pipek Dušan</v>
      </c>
      <c r="D18" s="70">
        <f>VLOOKUP(B18,Seznam!$A$2:$E$21,4,FALSE)</f>
        <v>34366</v>
      </c>
      <c r="E18" s="64" t="str">
        <f>VLOOKUP(B18,Seznam!$A$2:$E$21,5,FALSE)</f>
        <v>Sokol Čáslav</v>
      </c>
      <c r="F18" s="64">
        <f>VLOOKUP(B18,'Základní část'!$AF$2:$AH$21,2,FALSE)</f>
        <v>6</v>
      </c>
      <c r="G18" s="64">
        <v>5</v>
      </c>
      <c r="H18" s="64">
        <v>140</v>
      </c>
      <c r="I18" s="71">
        <f t="shared" si="0"/>
        <v>151</v>
      </c>
      <c r="J18" s="71">
        <f>VLOOKUP(B18,'Základní část'!$AF$2:$AH$21,3,FALSE)</f>
        <v>0</v>
      </c>
      <c r="K18" s="71">
        <f>IF(B18='Finálová část'!Q$15,'Finálová část'!R$15,0)</f>
        <v>0</v>
      </c>
      <c r="L18" s="71">
        <f>IF(B18='Finálová část'!Q$16,'Finálová část'!R$16,0)</f>
        <v>0</v>
      </c>
      <c r="M18" s="71">
        <f>IF(B18='Finálová část'!Q$22,'Finálová část'!R$22,0)</f>
        <v>0</v>
      </c>
      <c r="N18" s="71">
        <f>IF(B18='Finálová část'!Q$23,'Finálová část'!R$23,0)</f>
        <v>0</v>
      </c>
      <c r="O18" s="71">
        <f>IF(B18='Finálová část'!Q$24,'Finálová část'!R$24,0)</f>
        <v>0</v>
      </c>
      <c r="P18" s="71">
        <f>IF(B18='Finálová část'!Q$25,'Finálová část'!R$25,0)</f>
        <v>0</v>
      </c>
      <c r="Q18" s="71">
        <f>IF(B18='Finálová část'!Q$27,'Finálová část'!R$27,0)</f>
        <v>0</v>
      </c>
      <c r="R18" s="71">
        <f>IF(B18='Finálová část'!Q$28,'Finálová část'!R$28,0)</f>
        <v>0</v>
      </c>
      <c r="S18" s="71">
        <f>IF(B18='Finálová část'!Q$29,'Finálová část'!R$29,0)</f>
        <v>0</v>
      </c>
      <c r="T18" s="71">
        <f>IF(B18='Finálová část'!Q$30,'Finálová část'!R$30,0)</f>
        <v>0</v>
      </c>
      <c r="U18" s="71">
        <f>IF(B18='Finálová část'!Q$32,'Finálová část'!R$32,0)</f>
        <v>0</v>
      </c>
      <c r="V18" s="71">
        <f>IF(B18='Finálová část'!Q$33,'Finálová část'!R$33,0)</f>
        <v>0</v>
      </c>
      <c r="W18" s="71">
        <f>IF(B18='Finálová část'!Q$34,'Finálová část'!R$34,0)</f>
        <v>0</v>
      </c>
      <c r="X18" s="71">
        <f>IF(B18='Finálová část'!Q$35,'Finálová část'!R$35,0)</f>
        <v>0</v>
      </c>
      <c r="Y18" s="71">
        <f>IF(B18='Finálová část'!Q$56,'Finálová část'!R$56,0)</f>
        <v>0</v>
      </c>
      <c r="Z18" s="71">
        <f>IF(B18='Finálová část'!Q$57,'Finálová část'!R$57,0)</f>
        <v>0</v>
      </c>
      <c r="AA18" s="71">
        <f>IF(B18='Finálová část'!Q$58,'Finálová část'!R$58,0)</f>
        <v>0</v>
      </c>
      <c r="AB18" s="71">
        <f>IF(B18='Finálová část'!Q$59,'Finálová část'!R$59,0)</f>
        <v>0</v>
      </c>
      <c r="AC18" s="71">
        <f>IF(B18='Finálová část'!Q$61,'Finálová část'!R$61,0)</f>
        <v>0</v>
      </c>
      <c r="AD18" s="71">
        <f>IF(B18='Finálová část'!Q$62,'Finálová část'!R$62,0)</f>
        <v>0</v>
      </c>
      <c r="AE18" s="71">
        <f>IF(B18='Finálová část'!Q$63,'Finálová část'!R$63,0)</f>
        <v>0</v>
      </c>
      <c r="AF18" s="71">
        <f>IF(B18='Finálová část'!Q$64,'Finálová část'!R$64,0)</f>
        <v>0</v>
      </c>
      <c r="AG18" s="71">
        <f>IF(B18='Finálová část'!Q$66,'Finálová část'!R$66,0)</f>
        <v>0</v>
      </c>
      <c r="AH18" s="71">
        <f>IF(B18='Finálová část'!Q$67,'Finálová část'!R$67,0)</f>
        <v>0</v>
      </c>
      <c r="AI18" s="71">
        <f>IF(B18='Finálová část'!Q$68,'Finálová část'!R$68,0)</f>
        <v>0</v>
      </c>
      <c r="AJ18" s="71">
        <f>IF(B18='Finálová část'!Q$69,'Finálová část'!R$69,0)</f>
        <v>0</v>
      </c>
      <c r="AK18" s="71">
        <f>IF(B18='Finálová část'!Q$91,'Finálová část'!R$91,0)</f>
        <v>0</v>
      </c>
      <c r="AL18" s="71">
        <f>IF(B18='Finálová část'!Q$92,'Finálová část'!R$92,0)</f>
        <v>0</v>
      </c>
      <c r="AM18" s="71">
        <f>IF(B18='Finálová část'!Q$93,'Finálová část'!R$93,0)</f>
        <v>0</v>
      </c>
      <c r="AN18" s="71">
        <f>IF(B18='Finálová část'!Q$94,'Finálová část'!R$94,0)</f>
        <v>0</v>
      </c>
      <c r="AO18" s="72">
        <f t="shared" si="1"/>
        <v>0</v>
      </c>
      <c r="AP18" s="71">
        <f t="shared" si="2"/>
        <v>151</v>
      </c>
    </row>
    <row r="19" spans="1:42" ht="15.75">
      <c r="A19" s="69" t="s">
        <v>100</v>
      </c>
      <c r="B19" s="64" t="str">
        <f>'Finálová část'!E93</f>
        <v>Bárta M.</v>
      </c>
      <c r="C19" s="64" t="str">
        <f>VLOOKUP(B19,Seznam!$A$2:$E$21,3,FALSE)</f>
        <v>Bárta Martin</v>
      </c>
      <c r="D19" s="70">
        <f>VLOOKUP(B19,Seznam!$A$2:$E$21,4,FALSE)</f>
        <v>33390</v>
      </c>
      <c r="E19" s="64" t="str">
        <f>VLOOKUP(B19,Seznam!$A$2:$E$21,5,FALSE)</f>
        <v>Sokol Kutná Hora 'B'</v>
      </c>
      <c r="F19" s="64">
        <f>VLOOKUP(B19,'Základní část'!$AF$2:$AH$21,2,FALSE)</f>
        <v>2</v>
      </c>
      <c r="G19" s="64">
        <v>5</v>
      </c>
      <c r="H19" s="64">
        <v>133</v>
      </c>
      <c r="I19" s="71">
        <f t="shared" si="0"/>
        <v>140</v>
      </c>
      <c r="J19" s="71">
        <f>VLOOKUP(B19,'Základní část'!$AF$2:$AH$21,3,FALSE)</f>
        <v>0</v>
      </c>
      <c r="K19" s="71">
        <f>IF(B19='Finálová část'!Q$15,'Finálová část'!R$15,0)</f>
        <v>0</v>
      </c>
      <c r="L19" s="71">
        <f>IF(B19='Finálová část'!Q$16,'Finálová část'!R$16,0)</f>
        <v>0</v>
      </c>
      <c r="M19" s="71">
        <f>IF(B19='Finálová část'!Q$22,'Finálová část'!R$22,0)</f>
        <v>0</v>
      </c>
      <c r="N19" s="71">
        <f>IF(B19='Finálová část'!Q$23,'Finálová část'!R$23,0)</f>
        <v>0</v>
      </c>
      <c r="O19" s="71">
        <f>IF(B19='Finálová část'!Q$24,'Finálová část'!R$24,0)</f>
        <v>0</v>
      </c>
      <c r="P19" s="71">
        <f>IF(B19='Finálová část'!Q$25,'Finálová část'!R$25,0)</f>
        <v>0</v>
      </c>
      <c r="Q19" s="71">
        <f>IF(B19='Finálová část'!Q$27,'Finálová část'!R$27,0)</f>
        <v>0</v>
      </c>
      <c r="R19" s="71">
        <f>IF(B19='Finálová část'!Q$28,'Finálová část'!R$28,0)</f>
        <v>0</v>
      </c>
      <c r="S19" s="71">
        <f>IF(B19='Finálová část'!Q$29,'Finálová část'!R$29,0)</f>
        <v>0</v>
      </c>
      <c r="T19" s="71">
        <f>IF(B19='Finálová část'!Q$30,'Finálová část'!R$30,0)</f>
        <v>0</v>
      </c>
      <c r="U19" s="71">
        <f>IF(B19='Finálová část'!Q$32,'Finálová část'!R$32,0)</f>
        <v>0</v>
      </c>
      <c r="V19" s="71">
        <f>IF(B19='Finálová část'!Q$33,'Finálová část'!R$33,0)</f>
        <v>0</v>
      </c>
      <c r="W19" s="71">
        <f>IF(B19='Finálová část'!Q$34,'Finálová část'!R$34,0)</f>
        <v>0</v>
      </c>
      <c r="X19" s="71">
        <f>IF(B19='Finálová část'!Q$35,'Finálová část'!R$35,0)</f>
        <v>0</v>
      </c>
      <c r="Y19" s="71">
        <f>IF(B19='Finálová část'!Q$56,'Finálová část'!R$56,0)</f>
        <v>0</v>
      </c>
      <c r="Z19" s="71">
        <f>IF(B19='Finálová část'!Q$57,'Finálová část'!R$57,0)</f>
        <v>0</v>
      </c>
      <c r="AA19" s="71">
        <f>IF(B19='Finálová část'!Q$58,'Finálová část'!R$58,0)</f>
        <v>0</v>
      </c>
      <c r="AB19" s="71">
        <f>IF(B19='Finálová část'!Q$59,'Finálová část'!R$59,0)</f>
        <v>0</v>
      </c>
      <c r="AC19" s="71">
        <f>IF(B19='Finálová část'!Q$61,'Finálová část'!R$61,0)</f>
        <v>0</v>
      </c>
      <c r="AD19" s="71">
        <f>IF(B19='Finálová část'!Q$62,'Finálová část'!R$62,0)</f>
        <v>0</v>
      </c>
      <c r="AE19" s="71">
        <f>IF(B19='Finálová část'!Q$63,'Finálová část'!R$63,0)</f>
        <v>0</v>
      </c>
      <c r="AF19" s="71">
        <f>IF(B19='Finálová část'!Q$64,'Finálová část'!R$64,0)</f>
        <v>0</v>
      </c>
      <c r="AG19" s="71">
        <f>IF(B19='Finálová část'!Q$66,'Finálová část'!R$66,0)</f>
        <v>0</v>
      </c>
      <c r="AH19" s="71">
        <f>IF(B19='Finálová část'!Q$67,'Finálová část'!R$67,0)</f>
        <v>0</v>
      </c>
      <c r="AI19" s="71">
        <f>IF(B19='Finálová část'!Q$68,'Finálová část'!R$68,0)</f>
        <v>0</v>
      </c>
      <c r="AJ19" s="71">
        <f>IF(B19='Finálová část'!Q$69,'Finálová část'!R$69,0)</f>
        <v>0</v>
      </c>
      <c r="AK19" s="71">
        <f>IF(B19='Finálová část'!Q$91,'Finálová část'!R$91,0)</f>
        <v>0</v>
      </c>
      <c r="AL19" s="71">
        <f>IF(B19='Finálová část'!Q$92,'Finálová část'!R$92,0)</f>
        <v>0</v>
      </c>
      <c r="AM19" s="71">
        <f>IF(B19='Finálová část'!Q$93,'Finálová část'!R$93,0)</f>
        <v>0</v>
      </c>
      <c r="AN19" s="71">
        <f>IF(B19='Finálová část'!Q$94,'Finálová část'!R$94,0)</f>
        <v>0</v>
      </c>
      <c r="AO19" s="72">
        <f t="shared" si="1"/>
        <v>0</v>
      </c>
      <c r="AP19" s="71">
        <f t="shared" si="2"/>
        <v>140</v>
      </c>
    </row>
    <row r="20" spans="1:42" ht="15.75">
      <c r="A20" s="69" t="s">
        <v>101</v>
      </c>
      <c r="B20" s="64" t="str">
        <f>IF('Finálová část'!N93&lt;'Finálová část'!O93,'Finálová část'!D91,'Finálová část'!D95)</f>
        <v>Vörös</v>
      </c>
      <c r="C20" s="64" t="str">
        <f>VLOOKUP(B20,Seznam!$A$2:$E$21,3,FALSE)</f>
        <v>Vörös Vojtěch</v>
      </c>
      <c r="D20" s="70">
        <f>VLOOKUP(B20,Seznam!$A$2:$E$21,4,FALSE)</f>
        <v>33390</v>
      </c>
      <c r="E20" s="64" t="str">
        <f>VLOOKUP(B20,Seznam!$A$2:$E$21,5,FALSE)</f>
        <v>Sokol Kutná Hora 'B'</v>
      </c>
      <c r="F20" s="64">
        <f>VLOOKUP(B20,'Základní část'!$AF$2:$AH$21,2,FALSE)</f>
        <v>4</v>
      </c>
      <c r="G20" s="64">
        <v>5</v>
      </c>
      <c r="H20" s="64">
        <v>126</v>
      </c>
      <c r="I20" s="71">
        <f>SUM(F20:H20)</f>
        <v>135</v>
      </c>
      <c r="J20" s="71">
        <f>VLOOKUP(B20,'Základní část'!$AF$2:$AH$21,3,FALSE)</f>
        <v>0</v>
      </c>
      <c r="K20" s="71">
        <f>IF(B20='Finálová část'!Q$15,'Finálová část'!R$15,0)</f>
        <v>0</v>
      </c>
      <c r="L20" s="71">
        <f>IF(B20='Finálová část'!Q$16,'Finálová část'!R$16,0)</f>
        <v>0</v>
      </c>
      <c r="M20" s="71">
        <f>IF(B20='Finálová část'!Q$22,'Finálová část'!R$22,0)</f>
        <v>0</v>
      </c>
      <c r="N20" s="71">
        <f>IF(B20='Finálová část'!Q$23,'Finálová část'!R$23,0)</f>
        <v>0</v>
      </c>
      <c r="O20" s="71">
        <f>IF(B20='Finálová část'!Q$24,'Finálová část'!R$24,0)</f>
        <v>0</v>
      </c>
      <c r="P20" s="71">
        <f>IF(B20='Finálová část'!Q$25,'Finálová část'!R$25,0)</f>
        <v>0</v>
      </c>
      <c r="Q20" s="71">
        <f>IF(B20='Finálová část'!Q$27,'Finálová část'!R$27,0)</f>
        <v>0</v>
      </c>
      <c r="R20" s="71">
        <f>IF(B20='Finálová část'!Q$28,'Finálová část'!R$28,0)</f>
        <v>0</v>
      </c>
      <c r="S20" s="71">
        <f>IF(B20='Finálová část'!Q$29,'Finálová část'!R$29,0)</f>
        <v>0</v>
      </c>
      <c r="T20" s="71">
        <f>IF(B20='Finálová část'!Q$30,'Finálová část'!R$30,0)</f>
        <v>0</v>
      </c>
      <c r="U20" s="71">
        <f>IF(B20='Finálová část'!Q$32,'Finálová část'!R$32,0)</f>
        <v>0</v>
      </c>
      <c r="V20" s="71">
        <f>IF(B20='Finálová část'!Q$33,'Finálová část'!R$33,0)</f>
        <v>0</v>
      </c>
      <c r="W20" s="71">
        <f>IF(B20='Finálová část'!Q$34,'Finálová část'!R$34,0)</f>
        <v>0</v>
      </c>
      <c r="X20" s="71">
        <f>IF(B20='Finálová část'!Q$35,'Finálová část'!R$35,0)</f>
        <v>0</v>
      </c>
      <c r="Y20" s="71">
        <f>IF(B20='Finálová část'!Q$56,'Finálová část'!R$56,0)</f>
        <v>0</v>
      </c>
      <c r="Z20" s="71">
        <f>IF(B20='Finálová část'!Q$57,'Finálová část'!R$57,0)</f>
        <v>0</v>
      </c>
      <c r="AA20" s="71">
        <f>IF(B20='Finálová část'!Q$58,'Finálová část'!R$58,0)</f>
        <v>0</v>
      </c>
      <c r="AB20" s="71">
        <f>IF(B20='Finálová část'!Q$59,'Finálová část'!R$59,0)</f>
        <v>0</v>
      </c>
      <c r="AC20" s="71">
        <f>IF(B20='Finálová část'!Q$61,'Finálová část'!R$61,0)</f>
        <v>0</v>
      </c>
      <c r="AD20" s="71">
        <f>IF(B20='Finálová část'!Q$62,'Finálová část'!R$62,0)</f>
        <v>0</v>
      </c>
      <c r="AE20" s="71">
        <f>IF(B20='Finálová část'!Q$63,'Finálová část'!R$63,0)</f>
        <v>0</v>
      </c>
      <c r="AF20" s="71">
        <f>IF(B20='Finálová část'!Q$64,'Finálová část'!R$64,0)</f>
        <v>0</v>
      </c>
      <c r="AG20" s="71">
        <f>IF(B20='Finálová část'!Q$66,'Finálová část'!R$66,0)</f>
        <v>0</v>
      </c>
      <c r="AH20" s="71">
        <f>IF(B20='Finálová část'!Q$67,'Finálová část'!R$67,0)</f>
        <v>0</v>
      </c>
      <c r="AI20" s="71">
        <f>IF(B20='Finálová část'!Q$68,'Finálová část'!R$68,0)</f>
        <v>0</v>
      </c>
      <c r="AJ20" s="71">
        <f>IF(B20='Finálová část'!Q$69,'Finálová část'!R$69,0)</f>
        <v>0</v>
      </c>
      <c r="AK20" s="71">
        <f>IF(B20='Finálová část'!Q$91,'Finálová část'!R$91,0)</f>
        <v>0</v>
      </c>
      <c r="AL20" s="71">
        <f>IF(B20='Finálová část'!Q$92,'Finálová část'!R$92,0)</f>
        <v>0</v>
      </c>
      <c r="AM20" s="71">
        <f>IF(B20='Finálová část'!Q$93,'Finálová část'!R$93,0)</f>
        <v>0</v>
      </c>
      <c r="AN20" s="71">
        <f>IF(B20='Finálová část'!Q$94,'Finálová část'!R$94,0)</f>
        <v>0</v>
      </c>
      <c r="AO20" s="72">
        <f>SUM(J20:AN20)</f>
        <v>0</v>
      </c>
      <c r="AP20" s="71">
        <f aca="true" t="shared" si="3" ref="AP20:AP35">I20+AO20</f>
        <v>135</v>
      </c>
    </row>
    <row r="21" spans="1:42" ht="15.75">
      <c r="A21" s="69" t="s">
        <v>102</v>
      </c>
      <c r="B21" s="64" t="str">
        <f>'Finálová část'!E99</f>
        <v>Líbal T.</v>
      </c>
      <c r="C21" s="64" t="str">
        <f>VLOOKUP(B21,Seznam!$A$2:$E$21,3,FALSE)</f>
        <v>Líbal Tomáš</v>
      </c>
      <c r="D21" s="70">
        <f>VLOOKUP(B21,Seznam!$A$2:$E$21,4,FALSE)</f>
        <v>33178</v>
      </c>
      <c r="E21" s="64" t="str">
        <f>VLOOKUP(B21,Seznam!$A$2:$E$21,5,FALSE)</f>
        <v>Sokol Kutná Hora 'B'</v>
      </c>
      <c r="F21" s="64">
        <f>VLOOKUP(B21,'Základní část'!$AF$2:$AH$21,2,FALSE)</f>
        <v>4</v>
      </c>
      <c r="G21" s="64">
        <v>5</v>
      </c>
      <c r="H21" s="64">
        <v>119</v>
      </c>
      <c r="I21" s="71">
        <f>SUM(F21:H21)</f>
        <v>128</v>
      </c>
      <c r="J21" s="71">
        <f>VLOOKUP(B21,'Základní část'!$AF$2:$AH$21,3,FALSE)</f>
        <v>1</v>
      </c>
      <c r="K21" s="71">
        <f>IF(B21='Finálová část'!Q$15,'Finálová část'!R$15,0)</f>
        <v>0</v>
      </c>
      <c r="L21" s="71">
        <f>IF(B21='Finálová část'!Q$16,'Finálová část'!R$16,0)</f>
        <v>0</v>
      </c>
      <c r="M21" s="71">
        <f>IF(B21='Finálová část'!Q$22,'Finálová část'!R$22,0)</f>
        <v>0</v>
      </c>
      <c r="N21" s="71">
        <f>IF(B21='Finálová část'!Q$23,'Finálová část'!R$23,0)</f>
        <v>0</v>
      </c>
      <c r="O21" s="71">
        <f>IF(B21='Finálová část'!Q$24,'Finálová část'!R$24,0)</f>
        <v>0</v>
      </c>
      <c r="P21" s="71">
        <f>IF(B21='Finálová část'!Q$25,'Finálová část'!R$25,0)</f>
        <v>0</v>
      </c>
      <c r="Q21" s="71">
        <f>IF(B21='Finálová část'!Q$27,'Finálová část'!R$27,0)</f>
        <v>0</v>
      </c>
      <c r="R21" s="71">
        <f>IF(B21='Finálová část'!Q$28,'Finálová část'!R$28,0)</f>
        <v>0</v>
      </c>
      <c r="S21" s="71">
        <f>IF(B21='Finálová část'!Q$29,'Finálová část'!R$29,0)</f>
        <v>0</v>
      </c>
      <c r="T21" s="71">
        <f>IF(B21='Finálová část'!Q$30,'Finálová část'!R$30,0)</f>
        <v>0</v>
      </c>
      <c r="U21" s="71">
        <f>IF(B21='Finálová část'!Q$32,'Finálová část'!R$32,0)</f>
        <v>0</v>
      </c>
      <c r="V21" s="71">
        <f>IF(B21='Finálová část'!Q$33,'Finálová část'!R$33,0)</f>
        <v>0</v>
      </c>
      <c r="W21" s="71">
        <f>IF(B21='Finálová část'!Q$34,'Finálová část'!R$34,0)</f>
        <v>0</v>
      </c>
      <c r="X21" s="71">
        <f>IF(B21='Finálová část'!Q$35,'Finálová část'!R$35,0)</f>
        <v>0</v>
      </c>
      <c r="Y21" s="71">
        <f>IF(B21='Finálová část'!Q$56,'Finálová část'!R$56,0)</f>
        <v>0</v>
      </c>
      <c r="Z21" s="71">
        <f>IF(B21='Finálová část'!Q$57,'Finálová část'!R$57,0)</f>
        <v>0</v>
      </c>
      <c r="AA21" s="71">
        <f>IF(B21='Finálová část'!Q$58,'Finálová část'!R$58,0)</f>
        <v>0</v>
      </c>
      <c r="AB21" s="71">
        <f>IF(B21='Finálová část'!Q$59,'Finálová část'!R$59,0)</f>
        <v>0</v>
      </c>
      <c r="AC21" s="71">
        <f>IF(B21='Finálová část'!Q$61,'Finálová část'!R$61,0)</f>
        <v>0</v>
      </c>
      <c r="AD21" s="71">
        <f>IF(B21='Finálová část'!Q$62,'Finálová část'!R$62,0)</f>
        <v>0</v>
      </c>
      <c r="AE21" s="71">
        <f>IF(B21='Finálová část'!Q$63,'Finálová část'!R$63,0)</f>
        <v>0</v>
      </c>
      <c r="AF21" s="71">
        <f>IF(B21='Finálová část'!Q$64,'Finálová část'!R$64,0)</f>
        <v>0</v>
      </c>
      <c r="AG21" s="71">
        <f>IF(B21='Finálová část'!Q$66,'Finálová část'!R$66,0)</f>
        <v>0</v>
      </c>
      <c r="AH21" s="71">
        <f>IF(B21='Finálová část'!Q$67,'Finálová část'!R$67,0)</f>
        <v>0</v>
      </c>
      <c r="AI21" s="71">
        <f>IF(B21='Finálová část'!Q$68,'Finálová část'!R$68,0)</f>
        <v>0</v>
      </c>
      <c r="AJ21" s="71">
        <f>IF(B21='Finálová část'!Q$69,'Finálová část'!R$69,0)</f>
        <v>0</v>
      </c>
      <c r="AK21" s="71">
        <f>IF(B21='Finálová část'!Q$91,'Finálová část'!R$91,0)</f>
        <v>0</v>
      </c>
      <c r="AL21" s="71">
        <f>IF(B21='Finálová část'!Q$92,'Finálová část'!R$92,0)</f>
        <v>0</v>
      </c>
      <c r="AM21" s="71">
        <f>IF(B21='Finálová část'!Q$93,'Finálová část'!R$93,0)</f>
        <v>0</v>
      </c>
      <c r="AN21" s="71">
        <f>IF(B21='Finálová část'!Q$94,'Finálová část'!R$94,0)</f>
        <v>0</v>
      </c>
      <c r="AO21" s="72">
        <f>SUM(J21:AN21)</f>
        <v>1</v>
      </c>
      <c r="AP21" s="71">
        <f t="shared" si="3"/>
        <v>129</v>
      </c>
    </row>
    <row r="22" spans="1:42" ht="15.75">
      <c r="A22" s="69" t="s">
        <v>103</v>
      </c>
      <c r="B22" s="64" t="str">
        <f>IF('Finálová část'!N94&lt;'Finálová část'!O94,'Finálová část'!D98,'Finálová část'!D100)</f>
        <v>Arientová E.</v>
      </c>
      <c r="C22" s="64" t="str">
        <f>VLOOKUP(B22,Seznam!$A$2:$E$21,3,FALSE)</f>
        <v>Arientová Erika</v>
      </c>
      <c r="D22" s="70">
        <f>VLOOKUP(B22,Seznam!$A$2:$E$21,4,FALSE)</f>
        <v>33482</v>
      </c>
      <c r="E22" s="64" t="str">
        <f>VLOOKUP(B22,Seznam!$A$2:$E$21,5,FALSE)</f>
        <v>Sokol Chlístovice</v>
      </c>
      <c r="F22" s="64">
        <f>VLOOKUP(B22,'Základní část'!$AF$2:$AH$21,2,FALSE)</f>
        <v>2</v>
      </c>
      <c r="G22" s="64">
        <v>5</v>
      </c>
      <c r="H22" s="64">
        <v>112</v>
      </c>
      <c r="I22" s="71">
        <f>SUM(F22:H22)</f>
        <v>119</v>
      </c>
      <c r="J22" s="71">
        <f>VLOOKUP(B22,'Základní část'!$AF$2:$AH$21,3,FALSE)</f>
        <v>1</v>
      </c>
      <c r="K22" s="71">
        <f>IF(B22='Finálová část'!Q$15,'Finálová část'!R$15,0)</f>
        <v>0</v>
      </c>
      <c r="L22" s="71">
        <f>IF(B22='Finálová část'!Q$16,'Finálová část'!R$16,0)</f>
        <v>0</v>
      </c>
      <c r="M22" s="71">
        <f>IF(B22='Finálová část'!Q$22,'Finálová část'!R$22,0)</f>
        <v>0</v>
      </c>
      <c r="N22" s="71">
        <f>IF(B22='Finálová část'!Q$23,'Finálová část'!R$23,0)</f>
        <v>0</v>
      </c>
      <c r="O22" s="71">
        <f>IF(B22='Finálová část'!Q$24,'Finálová část'!R$24,0)</f>
        <v>0</v>
      </c>
      <c r="P22" s="71">
        <f>IF(B22='Finálová část'!Q$25,'Finálová část'!R$25,0)</f>
        <v>0</v>
      </c>
      <c r="Q22" s="71">
        <f>IF(B22='Finálová část'!Q$27,'Finálová část'!R$27,0)</f>
        <v>0</v>
      </c>
      <c r="R22" s="71">
        <f>IF(B22='Finálová část'!Q$28,'Finálová část'!R$28,0)</f>
        <v>0</v>
      </c>
      <c r="S22" s="71">
        <f>IF(B22='Finálová část'!Q$29,'Finálová část'!R$29,0)</f>
        <v>0</v>
      </c>
      <c r="T22" s="71">
        <f>IF(B22='Finálová část'!Q$30,'Finálová část'!R$30,0)</f>
        <v>0</v>
      </c>
      <c r="U22" s="71">
        <f>IF(B22='Finálová část'!Q$32,'Finálová část'!R$32,0)</f>
        <v>0</v>
      </c>
      <c r="V22" s="71">
        <f>IF(B22='Finálová část'!Q$33,'Finálová část'!R$33,0)</f>
        <v>0</v>
      </c>
      <c r="W22" s="71">
        <f>IF(B22='Finálová část'!Q$34,'Finálová část'!R$34,0)</f>
        <v>0</v>
      </c>
      <c r="X22" s="71">
        <f>IF(B22='Finálová část'!Q$35,'Finálová část'!R$35,0)</f>
        <v>0</v>
      </c>
      <c r="Y22" s="71">
        <f>IF(B22='Finálová část'!Q$56,'Finálová část'!R$56,0)</f>
        <v>0</v>
      </c>
      <c r="Z22" s="71">
        <f>IF(B22='Finálová část'!Q$57,'Finálová část'!R$57,0)</f>
        <v>0</v>
      </c>
      <c r="AA22" s="71">
        <f>IF(B22='Finálová část'!Q$58,'Finálová část'!R$58,0)</f>
        <v>0</v>
      </c>
      <c r="AB22" s="71">
        <f>IF(B22='Finálová část'!Q$59,'Finálová část'!R$59,0)</f>
        <v>0</v>
      </c>
      <c r="AC22" s="71">
        <f>IF(B22='Finálová část'!Q$61,'Finálová část'!R$61,0)</f>
        <v>0</v>
      </c>
      <c r="AD22" s="71">
        <f>IF(B22='Finálová část'!Q$62,'Finálová část'!R$62,0)</f>
        <v>0</v>
      </c>
      <c r="AE22" s="71">
        <f>IF(B22='Finálová část'!Q$63,'Finálová část'!R$63,0)</f>
        <v>0</v>
      </c>
      <c r="AF22" s="71">
        <f>IF(B22='Finálová část'!Q$64,'Finálová část'!R$64,0)</f>
        <v>0</v>
      </c>
      <c r="AG22" s="71">
        <f>IF(B22='Finálová část'!Q$66,'Finálová část'!R$66,0)</f>
        <v>0</v>
      </c>
      <c r="AH22" s="71">
        <f>IF(B22='Finálová část'!Q$67,'Finálová část'!R$67,0)</f>
        <v>0</v>
      </c>
      <c r="AI22" s="71">
        <f>IF(B22='Finálová část'!Q$68,'Finálová část'!R$68,0)</f>
        <v>0</v>
      </c>
      <c r="AJ22" s="71">
        <f>IF(B22='Finálová část'!Q$69,'Finálová část'!R$69,0)</f>
        <v>0</v>
      </c>
      <c r="AK22" s="71">
        <f>IF(B22='Finálová část'!Q$91,'Finálová část'!R$91,0)</f>
        <v>0</v>
      </c>
      <c r="AL22" s="71">
        <f>IF(B22='Finálová část'!Q$92,'Finálová část'!R$92,0)</f>
        <v>0</v>
      </c>
      <c r="AM22" s="71">
        <f>IF(B22='Finálová část'!Q$93,'Finálová část'!R$93,0)</f>
        <v>0</v>
      </c>
      <c r="AN22" s="71">
        <f>IF(B22='Finálová část'!Q$94,'Finálová část'!R$94,0)</f>
        <v>0</v>
      </c>
      <c r="AO22" s="72">
        <f>SUM(J22:AN22)</f>
        <v>1</v>
      </c>
      <c r="AP22" s="71">
        <f t="shared" si="3"/>
        <v>120</v>
      </c>
    </row>
    <row r="23" spans="1:42" ht="15.75">
      <c r="A23" s="69" t="s">
        <v>104</v>
      </c>
      <c r="C23" s="79" t="s">
        <v>197</v>
      </c>
      <c r="D23" s="80">
        <v>32752</v>
      </c>
      <c r="E23" s="79" t="s">
        <v>76</v>
      </c>
      <c r="F23" s="79"/>
      <c r="G23" s="79"/>
      <c r="H23" s="79"/>
      <c r="I23" s="81">
        <v>105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3"/>
      <c r="AP23" s="71">
        <f t="shared" si="3"/>
        <v>105</v>
      </c>
    </row>
    <row r="24" spans="1:42" ht="15.75">
      <c r="A24" s="69" t="s">
        <v>105</v>
      </c>
      <c r="C24" s="79" t="s">
        <v>198</v>
      </c>
      <c r="D24" s="80">
        <v>33390</v>
      </c>
      <c r="E24" s="79" t="s">
        <v>192</v>
      </c>
      <c r="F24" s="79"/>
      <c r="G24" s="79"/>
      <c r="H24" s="79"/>
      <c r="I24" s="81">
        <v>82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3">
        <v>1</v>
      </c>
      <c r="AP24" s="71">
        <f t="shared" si="3"/>
        <v>83</v>
      </c>
    </row>
    <row r="25" spans="1:42" ht="15.75">
      <c r="A25" s="69" t="s">
        <v>106</v>
      </c>
      <c r="C25" s="79" t="s">
        <v>199</v>
      </c>
      <c r="D25" s="80">
        <v>33970</v>
      </c>
      <c r="E25" s="79" t="s">
        <v>74</v>
      </c>
      <c r="F25" s="79"/>
      <c r="G25" s="79"/>
      <c r="H25" s="79"/>
      <c r="I25" s="81">
        <v>65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3"/>
      <c r="AP25" s="71">
        <f t="shared" si="3"/>
        <v>65</v>
      </c>
    </row>
    <row r="26" spans="1:42" ht="15.75">
      <c r="A26" s="69" t="s">
        <v>107</v>
      </c>
      <c r="C26" s="79" t="s">
        <v>200</v>
      </c>
      <c r="D26" s="80">
        <v>33970</v>
      </c>
      <c r="E26" s="79" t="s">
        <v>74</v>
      </c>
      <c r="F26" s="79"/>
      <c r="G26" s="79"/>
      <c r="H26" s="79"/>
      <c r="I26" s="81">
        <v>62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3"/>
      <c r="AP26" s="71">
        <f t="shared" si="3"/>
        <v>62</v>
      </c>
    </row>
    <row r="27" spans="1:42" ht="15.75">
      <c r="A27" s="69" t="s">
        <v>108</v>
      </c>
      <c r="C27" s="79" t="s">
        <v>201</v>
      </c>
      <c r="D27" s="80">
        <v>32874</v>
      </c>
      <c r="E27" s="79" t="s">
        <v>78</v>
      </c>
      <c r="F27" s="79"/>
      <c r="G27" s="79"/>
      <c r="H27" s="79"/>
      <c r="I27" s="81">
        <v>45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3"/>
      <c r="AP27" s="71">
        <f t="shared" si="3"/>
        <v>45</v>
      </c>
    </row>
    <row r="28" spans="1:42" ht="15.75">
      <c r="A28" s="69" t="s">
        <v>109</v>
      </c>
      <c r="C28" s="79" t="s">
        <v>202</v>
      </c>
      <c r="D28" s="80">
        <v>33147</v>
      </c>
      <c r="E28" s="79" t="s">
        <v>78</v>
      </c>
      <c r="F28" s="79"/>
      <c r="G28" s="79"/>
      <c r="H28" s="79"/>
      <c r="I28" s="81">
        <v>45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3"/>
      <c r="AP28" s="71">
        <f t="shared" si="3"/>
        <v>45</v>
      </c>
    </row>
    <row r="29" spans="1:42" ht="15.75">
      <c r="A29" s="69" t="s">
        <v>110</v>
      </c>
      <c r="C29" s="79"/>
      <c r="D29" s="80"/>
      <c r="E29" s="79"/>
      <c r="F29" s="79"/>
      <c r="G29" s="79"/>
      <c r="H29" s="79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3"/>
      <c r="AP29" s="71">
        <f t="shared" si="3"/>
        <v>0</v>
      </c>
    </row>
    <row r="30" spans="1:42" ht="15.75">
      <c r="A30" s="69" t="s">
        <v>111</v>
      </c>
      <c r="C30" s="79"/>
      <c r="D30" s="80"/>
      <c r="E30" s="79"/>
      <c r="F30" s="79"/>
      <c r="G30" s="79"/>
      <c r="H30" s="79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3"/>
      <c r="AP30" s="71">
        <f t="shared" si="3"/>
        <v>0</v>
      </c>
    </row>
    <row r="31" spans="1:42" ht="15.75">
      <c r="A31" s="69" t="s">
        <v>112</v>
      </c>
      <c r="C31" s="79"/>
      <c r="D31" s="80"/>
      <c r="E31" s="79"/>
      <c r="F31" s="79"/>
      <c r="G31" s="79"/>
      <c r="H31" s="79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3"/>
      <c r="AP31" s="71">
        <f t="shared" si="3"/>
        <v>0</v>
      </c>
    </row>
    <row r="32" spans="1:42" ht="15.75">
      <c r="A32" s="69" t="s">
        <v>113</v>
      </c>
      <c r="C32" s="79"/>
      <c r="D32" s="80"/>
      <c r="E32" s="79"/>
      <c r="F32" s="79"/>
      <c r="G32" s="79"/>
      <c r="H32" s="79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3"/>
      <c r="AP32" s="71">
        <f t="shared" si="3"/>
        <v>0</v>
      </c>
    </row>
    <row r="33" spans="1:42" ht="15.75">
      <c r="A33" s="69" t="s">
        <v>114</v>
      </c>
      <c r="C33" s="79"/>
      <c r="D33" s="80"/>
      <c r="E33" s="79"/>
      <c r="F33" s="79"/>
      <c r="G33" s="79"/>
      <c r="H33" s="79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3"/>
      <c r="AP33" s="71">
        <f t="shared" si="3"/>
        <v>0</v>
      </c>
    </row>
    <row r="34" spans="1:42" ht="15.75">
      <c r="A34" s="69" t="s">
        <v>115</v>
      </c>
      <c r="C34" s="79"/>
      <c r="D34" s="80"/>
      <c r="E34" s="79"/>
      <c r="F34" s="79"/>
      <c r="G34" s="79"/>
      <c r="H34" s="79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3"/>
      <c r="AP34" s="71">
        <f t="shared" si="3"/>
        <v>0</v>
      </c>
    </row>
    <row r="35" spans="1:42" ht="15.75">
      <c r="A35" s="69" t="s">
        <v>116</v>
      </c>
      <c r="C35" s="79"/>
      <c r="D35" s="80"/>
      <c r="E35" s="79"/>
      <c r="F35" s="79"/>
      <c r="G35" s="79"/>
      <c r="H35" s="79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3"/>
      <c r="AP35" s="71">
        <f t="shared" si="3"/>
        <v>0</v>
      </c>
    </row>
    <row r="36" spans="1:42" ht="15.75">
      <c r="A36" s="69" t="s">
        <v>117</v>
      </c>
      <c r="C36" s="79"/>
      <c r="D36" s="80"/>
      <c r="E36" s="79"/>
      <c r="F36" s="79"/>
      <c r="G36" s="79"/>
      <c r="H36" s="79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3"/>
      <c r="AP36" s="71">
        <f aca="true" t="shared" si="4" ref="AP36:AP51">I36+AO36</f>
        <v>0</v>
      </c>
    </row>
    <row r="37" spans="1:42" ht="15.75">
      <c r="A37" s="69" t="s">
        <v>118</v>
      </c>
      <c r="C37" s="79"/>
      <c r="D37" s="80"/>
      <c r="E37" s="79"/>
      <c r="F37" s="79"/>
      <c r="G37" s="79"/>
      <c r="H37" s="79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3"/>
      <c r="AP37" s="71">
        <f t="shared" si="4"/>
        <v>0</v>
      </c>
    </row>
    <row r="38" spans="1:42" ht="15.75">
      <c r="A38" s="69" t="s">
        <v>119</v>
      </c>
      <c r="C38" s="79"/>
      <c r="D38" s="80"/>
      <c r="E38" s="79"/>
      <c r="F38" s="79"/>
      <c r="G38" s="79"/>
      <c r="H38" s="79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3"/>
      <c r="AP38" s="71">
        <f t="shared" si="4"/>
        <v>0</v>
      </c>
    </row>
    <row r="39" spans="1:42" ht="15.75">
      <c r="A39" s="69" t="s">
        <v>120</v>
      </c>
      <c r="C39" s="79"/>
      <c r="D39" s="80"/>
      <c r="E39" s="79"/>
      <c r="F39" s="79"/>
      <c r="G39" s="79"/>
      <c r="H39" s="79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3"/>
      <c r="AP39" s="71">
        <f t="shared" si="4"/>
        <v>0</v>
      </c>
    </row>
    <row r="40" spans="1:42" ht="15.75">
      <c r="A40" s="69" t="s">
        <v>121</v>
      </c>
      <c r="C40" s="79"/>
      <c r="D40" s="80"/>
      <c r="E40" s="79"/>
      <c r="F40" s="79"/>
      <c r="G40" s="79"/>
      <c r="H40" s="79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3"/>
      <c r="AP40" s="71">
        <f t="shared" si="4"/>
        <v>0</v>
      </c>
    </row>
    <row r="41" spans="1:42" ht="15.75">
      <c r="A41" s="69" t="s">
        <v>122</v>
      </c>
      <c r="C41" s="79"/>
      <c r="D41" s="80"/>
      <c r="E41" s="79"/>
      <c r="F41" s="79"/>
      <c r="G41" s="79"/>
      <c r="H41" s="79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3"/>
      <c r="AP41" s="71">
        <f t="shared" si="4"/>
        <v>0</v>
      </c>
    </row>
    <row r="42" spans="1:42" ht="15.75">
      <c r="A42" s="69" t="s">
        <v>123</v>
      </c>
      <c r="C42" s="79"/>
      <c r="D42" s="80"/>
      <c r="E42" s="79"/>
      <c r="F42" s="79"/>
      <c r="G42" s="79"/>
      <c r="H42" s="79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3"/>
      <c r="AP42" s="71">
        <f t="shared" si="4"/>
        <v>0</v>
      </c>
    </row>
    <row r="43" spans="1:42" ht="15.75">
      <c r="A43" s="69" t="s">
        <v>124</v>
      </c>
      <c r="C43" s="79"/>
      <c r="D43" s="80"/>
      <c r="E43" s="79"/>
      <c r="F43" s="79"/>
      <c r="G43" s="79"/>
      <c r="H43" s="79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3"/>
      <c r="AP43" s="71">
        <f t="shared" si="4"/>
        <v>0</v>
      </c>
    </row>
    <row r="44" spans="1:42" ht="15.75">
      <c r="A44" s="69" t="s">
        <v>125</v>
      </c>
      <c r="C44" s="79"/>
      <c r="D44" s="80"/>
      <c r="E44" s="79"/>
      <c r="F44" s="79"/>
      <c r="G44" s="79"/>
      <c r="H44" s="79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3"/>
      <c r="AP44" s="71">
        <f t="shared" si="4"/>
        <v>0</v>
      </c>
    </row>
    <row r="45" spans="1:42" ht="15.75">
      <c r="A45" s="69" t="s">
        <v>126</v>
      </c>
      <c r="C45" s="79"/>
      <c r="D45" s="80"/>
      <c r="E45" s="79"/>
      <c r="F45" s="79"/>
      <c r="G45" s="79"/>
      <c r="H45" s="79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3"/>
      <c r="AP45" s="71">
        <f t="shared" si="4"/>
        <v>0</v>
      </c>
    </row>
    <row r="46" spans="1:42" ht="15.75">
      <c r="A46" s="69" t="s">
        <v>127</v>
      </c>
      <c r="C46" s="79"/>
      <c r="D46" s="80"/>
      <c r="E46" s="79"/>
      <c r="F46" s="79"/>
      <c r="G46" s="79"/>
      <c r="H46" s="79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3"/>
      <c r="AP46" s="71">
        <f t="shared" si="4"/>
        <v>0</v>
      </c>
    </row>
    <row r="47" spans="1:42" ht="15.75">
      <c r="A47" s="69" t="s">
        <v>128</v>
      </c>
      <c r="C47" s="79"/>
      <c r="D47" s="80"/>
      <c r="E47" s="79"/>
      <c r="F47" s="79"/>
      <c r="G47" s="79"/>
      <c r="H47" s="79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3"/>
      <c r="AP47" s="71">
        <f t="shared" si="4"/>
        <v>0</v>
      </c>
    </row>
    <row r="48" spans="1:42" ht="15.75">
      <c r="A48" s="69" t="s">
        <v>129</v>
      </c>
      <c r="C48" s="79"/>
      <c r="D48" s="80"/>
      <c r="E48" s="79"/>
      <c r="F48" s="79"/>
      <c r="G48" s="79"/>
      <c r="H48" s="79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3"/>
      <c r="AP48" s="71">
        <f t="shared" si="4"/>
        <v>0</v>
      </c>
    </row>
    <row r="49" spans="1:42" ht="15.75">
      <c r="A49" s="69" t="s">
        <v>130</v>
      </c>
      <c r="C49" s="79"/>
      <c r="D49" s="80"/>
      <c r="E49" s="79"/>
      <c r="F49" s="79"/>
      <c r="G49" s="79"/>
      <c r="H49" s="79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3"/>
      <c r="AP49" s="71">
        <f t="shared" si="4"/>
        <v>0</v>
      </c>
    </row>
    <row r="50" spans="1:42" ht="15.75">
      <c r="A50" s="69" t="s">
        <v>131</v>
      </c>
      <c r="C50" s="79"/>
      <c r="D50" s="80"/>
      <c r="E50" s="79"/>
      <c r="F50" s="79"/>
      <c r="G50" s="79"/>
      <c r="H50" s="79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3"/>
      <c r="AP50" s="71">
        <f t="shared" si="4"/>
        <v>0</v>
      </c>
    </row>
    <row r="51" spans="1:42" ht="15.75">
      <c r="A51" s="69" t="s">
        <v>132</v>
      </c>
      <c r="C51" s="79"/>
      <c r="D51" s="80"/>
      <c r="E51" s="79"/>
      <c r="F51" s="79"/>
      <c r="G51" s="79"/>
      <c r="H51" s="79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3"/>
      <c r="AP51" s="71">
        <f t="shared" si="4"/>
        <v>0</v>
      </c>
    </row>
    <row r="52" spans="1:42" ht="15.75">
      <c r="A52" s="69" t="s">
        <v>133</v>
      </c>
      <c r="C52" s="79"/>
      <c r="D52" s="80"/>
      <c r="E52" s="79"/>
      <c r="F52" s="79"/>
      <c r="G52" s="79"/>
      <c r="H52" s="79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3"/>
      <c r="AP52" s="71">
        <f aca="true" t="shared" si="5" ref="AP52:AP67">I52+AO52</f>
        <v>0</v>
      </c>
    </row>
    <row r="53" spans="1:42" ht="15.75">
      <c r="A53" s="69" t="s">
        <v>134</v>
      </c>
      <c r="C53" s="79"/>
      <c r="D53" s="80"/>
      <c r="E53" s="79"/>
      <c r="F53" s="79"/>
      <c r="G53" s="79"/>
      <c r="H53" s="79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3"/>
      <c r="AP53" s="71">
        <f t="shared" si="5"/>
        <v>0</v>
      </c>
    </row>
    <row r="54" spans="1:42" ht="15.75">
      <c r="A54" s="69" t="s">
        <v>135</v>
      </c>
      <c r="C54" s="79"/>
      <c r="D54" s="80"/>
      <c r="E54" s="79"/>
      <c r="F54" s="79"/>
      <c r="G54" s="79"/>
      <c r="H54" s="79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3"/>
      <c r="AP54" s="71">
        <f t="shared" si="5"/>
        <v>0</v>
      </c>
    </row>
    <row r="55" spans="1:42" ht="15.75">
      <c r="A55" s="69" t="s">
        <v>136</v>
      </c>
      <c r="C55" s="79"/>
      <c r="D55" s="80"/>
      <c r="E55" s="79"/>
      <c r="F55" s="79"/>
      <c r="G55" s="79"/>
      <c r="H55" s="79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3"/>
      <c r="AP55" s="71">
        <f t="shared" si="5"/>
        <v>0</v>
      </c>
    </row>
    <row r="56" spans="1:42" ht="15.75">
      <c r="A56" s="69" t="s">
        <v>137</v>
      </c>
      <c r="C56" s="79"/>
      <c r="D56" s="80"/>
      <c r="E56" s="79"/>
      <c r="F56" s="79"/>
      <c r="G56" s="79"/>
      <c r="H56" s="79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3"/>
      <c r="AP56" s="71">
        <f t="shared" si="5"/>
        <v>0</v>
      </c>
    </row>
    <row r="57" spans="1:42" ht="15.75">
      <c r="A57" s="69" t="s">
        <v>138</v>
      </c>
      <c r="C57" s="79"/>
      <c r="D57" s="80"/>
      <c r="E57" s="79"/>
      <c r="F57" s="79"/>
      <c r="G57" s="79"/>
      <c r="H57" s="79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3"/>
      <c r="AP57" s="71">
        <f t="shared" si="5"/>
        <v>0</v>
      </c>
    </row>
    <row r="58" spans="1:42" ht="15.75">
      <c r="A58" s="69" t="s">
        <v>139</v>
      </c>
      <c r="C58" s="79"/>
      <c r="D58" s="80"/>
      <c r="E58" s="79"/>
      <c r="F58" s="79"/>
      <c r="G58" s="79"/>
      <c r="H58" s="79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3"/>
      <c r="AP58" s="71">
        <f t="shared" si="5"/>
        <v>0</v>
      </c>
    </row>
    <row r="59" spans="1:42" ht="15.75">
      <c r="A59" s="69" t="s">
        <v>140</v>
      </c>
      <c r="C59" s="79"/>
      <c r="D59" s="80"/>
      <c r="E59" s="79"/>
      <c r="F59" s="79"/>
      <c r="G59" s="79"/>
      <c r="H59" s="79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3"/>
      <c r="AP59" s="71">
        <f t="shared" si="5"/>
        <v>0</v>
      </c>
    </row>
    <row r="60" spans="1:42" ht="15.75">
      <c r="A60" s="69" t="s">
        <v>141</v>
      </c>
      <c r="C60" s="79"/>
      <c r="D60" s="80"/>
      <c r="E60" s="79"/>
      <c r="F60" s="79"/>
      <c r="G60" s="79"/>
      <c r="H60" s="79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3"/>
      <c r="AP60" s="71">
        <f t="shared" si="5"/>
        <v>0</v>
      </c>
    </row>
    <row r="61" spans="1:42" ht="15.75">
      <c r="A61" s="69" t="s">
        <v>142</v>
      </c>
      <c r="C61" s="79"/>
      <c r="D61" s="80"/>
      <c r="E61" s="79"/>
      <c r="F61" s="79"/>
      <c r="G61" s="79"/>
      <c r="H61" s="79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3"/>
      <c r="AP61" s="71">
        <f t="shared" si="5"/>
        <v>0</v>
      </c>
    </row>
    <row r="62" spans="1:42" ht="15.75">
      <c r="A62" s="69" t="s">
        <v>143</v>
      </c>
      <c r="C62" s="79"/>
      <c r="D62" s="80"/>
      <c r="E62" s="79"/>
      <c r="F62" s="79"/>
      <c r="G62" s="79"/>
      <c r="H62" s="79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3"/>
      <c r="AP62" s="71">
        <f t="shared" si="5"/>
        <v>0</v>
      </c>
    </row>
    <row r="63" spans="1:42" ht="15.75">
      <c r="A63" s="69" t="s">
        <v>144</v>
      </c>
      <c r="C63" s="79"/>
      <c r="D63" s="80"/>
      <c r="E63" s="79"/>
      <c r="F63" s="79"/>
      <c r="G63" s="79"/>
      <c r="H63" s="79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3"/>
      <c r="AP63" s="71">
        <f t="shared" si="5"/>
        <v>0</v>
      </c>
    </row>
    <row r="64" spans="1:42" ht="15.75">
      <c r="A64" s="69" t="s">
        <v>145</v>
      </c>
      <c r="C64" s="79"/>
      <c r="D64" s="80"/>
      <c r="E64" s="79"/>
      <c r="F64" s="79"/>
      <c r="G64" s="79"/>
      <c r="H64" s="79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3"/>
      <c r="AP64" s="71">
        <f t="shared" si="5"/>
        <v>0</v>
      </c>
    </row>
    <row r="65" spans="1:42" ht="15.75">
      <c r="A65" s="69" t="s">
        <v>146</v>
      </c>
      <c r="C65" s="79"/>
      <c r="D65" s="80"/>
      <c r="E65" s="79"/>
      <c r="F65" s="79"/>
      <c r="G65" s="79"/>
      <c r="H65" s="79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3"/>
      <c r="AP65" s="71">
        <f t="shared" si="5"/>
        <v>0</v>
      </c>
    </row>
    <row r="66" spans="1:42" ht="15.75">
      <c r="A66" s="69" t="s">
        <v>147</v>
      </c>
      <c r="C66" s="79"/>
      <c r="D66" s="80"/>
      <c r="E66" s="79"/>
      <c r="F66" s="79"/>
      <c r="G66" s="79"/>
      <c r="H66" s="79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3"/>
      <c r="AP66" s="71">
        <f t="shared" si="5"/>
        <v>0</v>
      </c>
    </row>
    <row r="67" spans="1:42" ht="15.75">
      <c r="A67" s="69" t="s">
        <v>148</v>
      </c>
      <c r="C67" s="79"/>
      <c r="D67" s="80"/>
      <c r="E67" s="79"/>
      <c r="F67" s="79"/>
      <c r="G67" s="79"/>
      <c r="H67" s="79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3"/>
      <c r="AP67" s="71">
        <f t="shared" si="5"/>
        <v>0</v>
      </c>
    </row>
    <row r="68" spans="1:42" ht="15.75">
      <c r="A68" s="69" t="s">
        <v>149</v>
      </c>
      <c r="C68" s="79"/>
      <c r="D68" s="80"/>
      <c r="E68" s="79"/>
      <c r="F68" s="79"/>
      <c r="G68" s="79"/>
      <c r="H68" s="79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3"/>
      <c r="AP68" s="71">
        <f>I68+AO68</f>
        <v>0</v>
      </c>
    </row>
    <row r="69" spans="1:42" ht="15.75">
      <c r="A69" s="69" t="s">
        <v>150</v>
      </c>
      <c r="C69" s="79"/>
      <c r="D69" s="80"/>
      <c r="E69" s="79"/>
      <c r="F69" s="79"/>
      <c r="G69" s="79"/>
      <c r="H69" s="79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3"/>
      <c r="AP69" s="71">
        <f>I69+AO69</f>
        <v>0</v>
      </c>
    </row>
    <row r="70" spans="1:42" ht="15.75">
      <c r="A70" s="69" t="s">
        <v>151</v>
      </c>
      <c r="C70" s="79"/>
      <c r="D70" s="80"/>
      <c r="E70" s="79"/>
      <c r="F70" s="79"/>
      <c r="G70" s="79"/>
      <c r="H70" s="79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3"/>
      <c r="AP70" s="71">
        <f>I70+AO70</f>
        <v>0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&amp;C&amp;"Times New Roman CE,obyčejné"&amp;14Výsledky 4. OP žactva</oddHeader>
    <oddFooter>&amp;C&amp;"Times New Roman CE,obyčejné"Strana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7" sqref="A7"/>
    </sheetView>
  </sheetViews>
  <sheetFormatPr defaultColWidth="9.00390625" defaultRowHeight="12.75"/>
  <cols>
    <col min="1" max="1" width="4.25390625" style="69" customWidth="1"/>
    <col min="2" max="2" width="21.00390625" style="64" customWidth="1"/>
    <col min="3" max="3" width="7.00390625" style="70" customWidth="1"/>
    <col min="4" max="4" width="25.75390625" style="64" customWidth="1"/>
    <col min="5" max="5" width="7.875" style="71" customWidth="1"/>
    <col min="6" max="6" width="7.875" style="72" customWidth="1"/>
    <col min="7" max="16384" width="9.125" style="64" customWidth="1"/>
  </cols>
  <sheetData>
    <row r="1" ht="15.75">
      <c r="A1" s="74" t="str">
        <f>'Pořadí - jednotlivci'!A1</f>
        <v>Pořadí - Jednotlivci:</v>
      </c>
    </row>
    <row r="2" spans="1:6" s="65" customFormat="1" ht="15.75">
      <c r="A2" s="63"/>
      <c r="B2" s="65" t="str">
        <f>'Pořadí - jednotlivci'!C2</f>
        <v>Jméno</v>
      </c>
      <c r="C2" s="66" t="str">
        <f>'Pořadí - jednotlivci'!D2</f>
        <v>Naroz.</v>
      </c>
      <c r="D2" s="65" t="str">
        <f>'Pořadí - jednotlivci'!E2</f>
        <v>Oddíl</v>
      </c>
      <c r="E2" s="67" t="str">
        <f>'Pořadí - jednotlivci'!I2</f>
        <v>Bodů</v>
      </c>
      <c r="F2" s="82" t="str">
        <f>'Pořadí - jednotlivci'!AO2</f>
        <v>Bonus</v>
      </c>
    </row>
    <row r="3" spans="1:6" ht="15.75">
      <c r="A3" s="69" t="str">
        <f>'Pořadí - jednotlivci'!A3</f>
        <v>1.</v>
      </c>
      <c r="B3" s="64" t="str">
        <f>'Pořadí - jednotlivci'!C3</f>
        <v>Trmal Jan</v>
      </c>
      <c r="C3" s="70">
        <f>'Pořadí - jednotlivci'!D3</f>
        <v>32448</v>
      </c>
      <c r="D3" s="64" t="str">
        <f>'Pořadí - jednotlivci'!E3</f>
        <v>Kavalier Sázava 'A'</v>
      </c>
      <c r="E3" s="71">
        <f>'Pořadí - jednotlivci'!I3</f>
        <v>321</v>
      </c>
      <c r="F3" s="72">
        <f>'Pořadí - jednotlivci'!AO3</f>
        <v>29</v>
      </c>
    </row>
    <row r="4" spans="1:6" ht="15.75">
      <c r="A4" s="69" t="str">
        <f>'Pořadí - jednotlivci'!A4</f>
        <v>2.</v>
      </c>
      <c r="B4" s="64" t="str">
        <f>'Pořadí - jednotlivci'!C4</f>
        <v>Choutka Jaroslav</v>
      </c>
      <c r="C4" s="70">
        <f>'Pořadí - jednotlivci'!D4</f>
        <v>33055</v>
      </c>
      <c r="D4" s="64" t="str">
        <f>'Pořadí - jednotlivci'!E4</f>
        <v>Sokol Kutná Hora 'A'</v>
      </c>
      <c r="E4" s="71">
        <f>'Pořadí - jednotlivci'!I4</f>
        <v>279</v>
      </c>
      <c r="F4" s="72">
        <f>'Pořadí - jednotlivci'!AO4</f>
        <v>21</v>
      </c>
    </row>
    <row r="5" spans="1:6" ht="15.75">
      <c r="A5" s="69" t="str">
        <f>'Pořadí - jednotlivci'!A5</f>
        <v>3.</v>
      </c>
      <c r="B5" s="64" t="str">
        <f>'Pořadí - jednotlivci'!C5</f>
        <v>Herout František</v>
      </c>
      <c r="C5" s="70">
        <f>'Pořadí - jednotlivci'!D5</f>
        <v>33025</v>
      </c>
      <c r="D5" s="64" t="str">
        <f>'Pořadí - jednotlivci'!E5</f>
        <v>Jiskra Zruč nad Sázavou 'A'</v>
      </c>
      <c r="E5" s="71">
        <f>'Pořadí - jednotlivci'!I5</f>
        <v>257</v>
      </c>
      <c r="F5" s="72">
        <f>'Pořadí - jednotlivci'!AO5</f>
        <v>17</v>
      </c>
    </row>
    <row r="6" spans="1:6" ht="15.75">
      <c r="A6" s="69" t="str">
        <f>'Pořadí - jednotlivci'!A6</f>
        <v>4.</v>
      </c>
      <c r="B6" s="64" t="str">
        <f>'Pořadí - jednotlivci'!C6</f>
        <v>Choutková Magdaléna</v>
      </c>
      <c r="C6" s="70">
        <f>'Pořadí - jednotlivci'!D6</f>
        <v>32325</v>
      </c>
      <c r="D6" s="64" t="str">
        <f>'Pořadí - jednotlivci'!E6</f>
        <v>Sokol Kutná Hora 'B'</v>
      </c>
      <c r="E6" s="71">
        <f>'Pořadí - jednotlivci'!I6</f>
        <v>251</v>
      </c>
      <c r="F6" s="72">
        <f>'Pořadí - jednotlivci'!AO6</f>
        <v>22</v>
      </c>
    </row>
    <row r="7" spans="1:6" ht="15.75">
      <c r="A7" s="69" t="str">
        <f>'Pořadí - jednotlivci'!A7</f>
        <v>5.</v>
      </c>
      <c r="B7" s="64" t="str">
        <f>'Pořadí - jednotlivci'!C7</f>
        <v>Gregor Tomáš</v>
      </c>
      <c r="C7" s="70">
        <f>'Pořadí - jednotlivci'!D7</f>
        <v>32874</v>
      </c>
      <c r="D7" s="64" t="str">
        <f>'Pořadí - jednotlivci'!E7</f>
        <v>Kavalier Sázava 'A'</v>
      </c>
      <c r="E7" s="71">
        <f>'Pořadí - jednotlivci'!I7</f>
        <v>236</v>
      </c>
      <c r="F7" s="72">
        <f>'Pořadí - jednotlivci'!AO7</f>
        <v>20</v>
      </c>
    </row>
    <row r="8" spans="1:6" ht="15.75">
      <c r="A8" s="69" t="str">
        <f>'Pořadí - jednotlivci'!A8</f>
        <v>6.</v>
      </c>
      <c r="B8" s="64" t="str">
        <f>'Pořadí - jednotlivci'!C8</f>
        <v>Tůma Pavel</v>
      </c>
      <c r="C8" s="70">
        <f>'Pořadí - jednotlivci'!D8</f>
        <v>32629</v>
      </c>
      <c r="D8" s="64" t="str">
        <f>'Pořadí - jednotlivci'!E8</f>
        <v>Sokol Kutná Hora 'A'</v>
      </c>
      <c r="E8" s="71">
        <f>'Pořadí - jednotlivci'!I8</f>
        <v>227</v>
      </c>
      <c r="F8" s="72">
        <f>'Pořadí - jednotlivci'!AO8</f>
        <v>13</v>
      </c>
    </row>
    <row r="9" spans="1:6" ht="15.75">
      <c r="A9" s="69" t="str">
        <f>'Pořadí - jednotlivci'!A9</f>
        <v>7.</v>
      </c>
      <c r="B9" s="64" t="str">
        <f>'Pořadí - jednotlivci'!C9</f>
        <v>Václ Jan</v>
      </c>
      <c r="C9" s="70">
        <f>'Pořadí - jednotlivci'!D9</f>
        <v>32295</v>
      </c>
      <c r="D9" s="64" t="str">
        <f>'Pořadí - jednotlivci'!E9</f>
        <v>Sokol Kutná Hora 'B'</v>
      </c>
      <c r="E9" s="71">
        <f>'Pořadí - jednotlivci'!I9</f>
        <v>218</v>
      </c>
      <c r="F9" s="72">
        <f>'Pořadí - jednotlivci'!AO9</f>
        <v>8</v>
      </c>
    </row>
    <row r="10" spans="1:6" ht="15.75">
      <c r="A10" s="69" t="str">
        <f>'Pořadí - jednotlivci'!A10</f>
        <v>8.</v>
      </c>
      <c r="B10" s="64" t="str">
        <f>'Pořadí - jednotlivci'!C10</f>
        <v>Němec Martin</v>
      </c>
      <c r="C10" s="70">
        <f>'Pořadí - jednotlivci'!D10</f>
        <v>33329</v>
      </c>
      <c r="D10" s="64" t="str">
        <f>'Pořadí - jednotlivci'!E10</f>
        <v>Jiskra Zruč nad Sázavou 'A'</v>
      </c>
      <c r="E10" s="71">
        <f>'Pořadí - jednotlivci'!I10</f>
        <v>211</v>
      </c>
      <c r="F10" s="72">
        <f>'Pořadí - jednotlivci'!AO10</f>
        <v>6</v>
      </c>
    </row>
    <row r="11" spans="1:6" ht="15.75">
      <c r="A11" s="69" t="str">
        <f>'Pořadí - jednotlivci'!A11</f>
        <v>9.</v>
      </c>
      <c r="B11" s="64" t="str">
        <f>'Pořadí - jednotlivci'!C11</f>
        <v>Holinková Eva</v>
      </c>
      <c r="C11" s="70">
        <f>'Pořadí - jednotlivci'!D11</f>
        <v>33239</v>
      </c>
      <c r="D11" s="64" t="str">
        <f>'Pořadí - jednotlivci'!E11</f>
        <v>Sokol Kutná Hora 'B'</v>
      </c>
      <c r="E11" s="71">
        <f>'Pořadí - jednotlivci'!I11</f>
        <v>202</v>
      </c>
      <c r="F11" s="72">
        <f>'Pořadí - jednotlivci'!AO11</f>
        <v>6</v>
      </c>
    </row>
    <row r="12" spans="1:6" ht="15.75">
      <c r="A12" s="69" t="str">
        <f>'Pořadí - jednotlivci'!A12</f>
        <v>10.</v>
      </c>
      <c r="B12" s="64" t="str">
        <f>'Pořadí - jednotlivci'!C12</f>
        <v>Smékal Jan</v>
      </c>
      <c r="C12" s="70">
        <f>'Pořadí - jednotlivci'!D12</f>
        <v>32721</v>
      </c>
      <c r="D12" s="64" t="str">
        <f>'Pořadí - jednotlivci'!E12</f>
        <v>Sokol Čáslav</v>
      </c>
      <c r="E12" s="71">
        <f>'Pořadí - jednotlivci'!I12</f>
        <v>193</v>
      </c>
      <c r="F12" s="72">
        <f>'Pořadí - jednotlivci'!AO12</f>
        <v>3</v>
      </c>
    </row>
    <row r="13" spans="1:6" ht="15.75">
      <c r="A13" s="69" t="str">
        <f>'Pořadí - jednotlivci'!A13</f>
        <v>11.</v>
      </c>
      <c r="B13" s="64" t="str">
        <f>'Pořadí - jednotlivci'!C13</f>
        <v>Mottl Martin</v>
      </c>
      <c r="C13" s="70">
        <f>'Pořadí - jednotlivci'!D13</f>
        <v>32599</v>
      </c>
      <c r="D13" s="64" t="str">
        <f>'Pořadí - jednotlivci'!E13</f>
        <v>Sokol Malešov</v>
      </c>
      <c r="E13" s="71">
        <f>'Pořadí - jednotlivci'!I13</f>
        <v>188</v>
      </c>
      <c r="F13" s="72">
        <f>'Pořadí - jednotlivci'!AO13</f>
        <v>6</v>
      </c>
    </row>
    <row r="14" spans="1:6" ht="15.75">
      <c r="A14" s="69" t="str">
        <f>'Pořadí - jednotlivci'!A14</f>
        <v>12.</v>
      </c>
      <c r="B14" s="64" t="str">
        <f>'Pořadí - jednotlivci'!C14</f>
        <v>Vrána Radek</v>
      </c>
      <c r="C14" s="70">
        <f>'Pořadí - jednotlivci'!D14</f>
        <v>32843</v>
      </c>
      <c r="D14" s="64" t="str">
        <f>'Pořadí - jednotlivci'!E14</f>
        <v>Sokol Čáslav</v>
      </c>
      <c r="E14" s="71">
        <f>'Pořadí - jednotlivci'!I14</f>
        <v>181</v>
      </c>
      <c r="F14" s="72">
        <f>'Pořadí - jednotlivci'!AO14</f>
        <v>3</v>
      </c>
    </row>
    <row r="15" spans="1:6" ht="15.75">
      <c r="A15" s="69" t="str">
        <f>'Pořadí - jednotlivci'!A15</f>
        <v>13.</v>
      </c>
      <c r="B15" s="64" t="str">
        <f>'Pořadí - jednotlivci'!C15</f>
        <v>Zajakov Petr</v>
      </c>
      <c r="C15" s="70">
        <f>'Pořadí - jednotlivci'!D15</f>
        <v>32964</v>
      </c>
      <c r="D15" s="64" t="str">
        <f>'Pořadí - jednotlivci'!E15</f>
        <v>Jiskra Zruč nad Sázavou 'B'</v>
      </c>
      <c r="E15" s="71">
        <f>'Pořadí - jednotlivci'!I15</f>
        <v>176</v>
      </c>
      <c r="F15" s="72">
        <f>'Pořadí - jednotlivci'!AO15</f>
        <v>4</v>
      </c>
    </row>
    <row r="16" spans="1:5" ht="15.75">
      <c r="A16" s="69" t="str">
        <f>'Pořadí - jednotlivci'!A16</f>
        <v>14.</v>
      </c>
      <c r="B16" s="64" t="str">
        <f>'Pořadí - jednotlivci'!C16</f>
        <v>Šašinka Petr</v>
      </c>
      <c r="C16" s="70">
        <f>'Pořadí - jednotlivci'!D16</f>
        <v>32264</v>
      </c>
      <c r="D16" s="64" t="str">
        <f>'Pořadí - jednotlivci'!E16</f>
        <v>Jiskra Zruč nad Sázavou 'B'</v>
      </c>
      <c r="E16" s="71">
        <f>'Pořadí - jednotlivci'!I16</f>
        <v>165</v>
      </c>
    </row>
    <row r="17" spans="1:5" ht="15.75">
      <c r="A17" s="69" t="str">
        <f>'Pořadí - jednotlivci'!A17</f>
        <v>15.</v>
      </c>
      <c r="B17" s="64" t="str">
        <f>'Pořadí - jednotlivci'!C17</f>
        <v>Sosnovcová Eva</v>
      </c>
      <c r="C17" s="70">
        <f>'Pořadí - jednotlivci'!D17</f>
        <v>32964</v>
      </c>
      <c r="D17" s="64" t="str">
        <f>'Pořadí - jednotlivci'!E17</f>
        <v>Sokol Kutná Hora 'B'</v>
      </c>
      <c r="E17" s="71">
        <f>'Pořadí - jednotlivci'!I17</f>
        <v>160</v>
      </c>
    </row>
    <row r="18" spans="1:5" ht="15.75">
      <c r="A18" s="69" t="str">
        <f>'Pořadí - jednotlivci'!A18</f>
        <v>16.</v>
      </c>
      <c r="B18" s="64" t="str">
        <f>'Pořadí - jednotlivci'!C18</f>
        <v>Pipek Dušan</v>
      </c>
      <c r="C18" s="70">
        <f>'Pořadí - jednotlivci'!D18</f>
        <v>34366</v>
      </c>
      <c r="D18" s="64" t="str">
        <f>'Pořadí - jednotlivci'!E18</f>
        <v>Sokol Čáslav</v>
      </c>
      <c r="E18" s="71">
        <f>'Pořadí - jednotlivci'!I18</f>
        <v>151</v>
      </c>
    </row>
    <row r="19" spans="1:5" ht="15.75">
      <c r="A19" s="69" t="str">
        <f>'Pořadí - jednotlivci'!A19</f>
        <v>17.</v>
      </c>
      <c r="B19" s="64" t="str">
        <f>'Pořadí - jednotlivci'!C19</f>
        <v>Bárta Martin</v>
      </c>
      <c r="C19" s="70">
        <f>'Pořadí - jednotlivci'!D19</f>
        <v>33390</v>
      </c>
      <c r="D19" s="64" t="str">
        <f>'Pořadí - jednotlivci'!E19</f>
        <v>Sokol Kutná Hora 'B'</v>
      </c>
      <c r="E19" s="71">
        <f>'Pořadí - jednotlivci'!I19</f>
        <v>140</v>
      </c>
    </row>
    <row r="20" spans="1:5" ht="15.75">
      <c r="A20" s="69" t="str">
        <f>'Pořadí - jednotlivci'!A20</f>
        <v>18.</v>
      </c>
      <c r="B20" s="64" t="str">
        <f>'Pořadí - jednotlivci'!C20</f>
        <v>Vörös Vojtěch</v>
      </c>
      <c r="C20" s="70">
        <f>'Pořadí - jednotlivci'!D20</f>
        <v>33390</v>
      </c>
      <c r="D20" s="64" t="str">
        <f>'Pořadí - jednotlivci'!E20</f>
        <v>Sokol Kutná Hora 'B'</v>
      </c>
      <c r="E20" s="71">
        <f>'Pořadí - jednotlivci'!I20</f>
        <v>135</v>
      </c>
    </row>
    <row r="21" spans="1:6" ht="15.75">
      <c r="A21" s="69" t="str">
        <f>'Pořadí - jednotlivci'!A21</f>
        <v>19.</v>
      </c>
      <c r="B21" s="64" t="str">
        <f>'Pořadí - jednotlivci'!C21</f>
        <v>Líbal Tomáš</v>
      </c>
      <c r="C21" s="70">
        <f>'Pořadí - jednotlivci'!D21</f>
        <v>33178</v>
      </c>
      <c r="D21" s="64" t="str">
        <f>'Pořadí - jednotlivci'!E21</f>
        <v>Sokol Kutná Hora 'B'</v>
      </c>
      <c r="E21" s="71">
        <f>'Pořadí - jednotlivci'!I21</f>
        <v>128</v>
      </c>
      <c r="F21" s="72">
        <f>'Pořadí - jednotlivci'!AO21</f>
        <v>1</v>
      </c>
    </row>
    <row r="22" spans="1:6" ht="15.75">
      <c r="A22" s="69" t="str">
        <f>'Pořadí - jednotlivci'!A22</f>
        <v>20.</v>
      </c>
      <c r="B22" s="64" t="str">
        <f>'Pořadí - jednotlivci'!C22</f>
        <v>Arientová Erika</v>
      </c>
      <c r="C22" s="70">
        <f>'Pořadí - jednotlivci'!D22</f>
        <v>33482</v>
      </c>
      <c r="D22" s="64" t="str">
        <f>'Pořadí - jednotlivci'!E22</f>
        <v>Sokol Chlístovice</v>
      </c>
      <c r="E22" s="71">
        <f>'Pořadí - jednotlivci'!I22</f>
        <v>119</v>
      </c>
      <c r="F22" s="72">
        <f>'Pořadí - jednotlivci'!AO22</f>
        <v>1</v>
      </c>
    </row>
    <row r="23" spans="1:5" ht="15.75">
      <c r="A23" s="69" t="str">
        <f>'Pořadí - jednotlivci'!A23</f>
        <v>21.</v>
      </c>
      <c r="B23" s="64" t="str">
        <f>'Pořadí - jednotlivci'!C23</f>
        <v>Král Ladislav</v>
      </c>
      <c r="C23" s="70">
        <f>'Pořadí - jednotlivci'!D23</f>
        <v>32752</v>
      </c>
      <c r="D23" s="64" t="str">
        <f>'Pořadí - jednotlivci'!E23</f>
        <v>Kavalier Sázava 'B'</v>
      </c>
      <c r="E23" s="71">
        <f>'Pořadí - jednotlivci'!I23</f>
        <v>105</v>
      </c>
    </row>
    <row r="24" spans="1:6" ht="15.75">
      <c r="A24" s="69" t="str">
        <f>'Pořadí - jednotlivci'!A24</f>
        <v>22.</v>
      </c>
      <c r="B24" s="64" t="str">
        <f>'Pořadí - jednotlivci'!C24</f>
        <v>Kamenář Jan</v>
      </c>
      <c r="C24" s="70">
        <f>'Pořadí - jednotlivci'!D24</f>
        <v>33390</v>
      </c>
      <c r="D24" s="64" t="str">
        <f>'Pořadí - jednotlivci'!E24</f>
        <v>Sokol Malešov</v>
      </c>
      <c r="E24" s="71">
        <f>'Pořadí - jednotlivci'!I24</f>
        <v>82</v>
      </c>
      <c r="F24" s="72">
        <f>'Pořadí - jednotlivci'!AO24</f>
        <v>1</v>
      </c>
    </row>
    <row r="25" spans="1:5" ht="15.75">
      <c r="A25" s="69" t="str">
        <f>'Pořadí - jednotlivci'!A25</f>
        <v>23.</v>
      </c>
      <c r="B25" s="64" t="str">
        <f>'Pořadí - jednotlivci'!C25</f>
        <v>Sosnovec Jakub</v>
      </c>
      <c r="C25" s="70">
        <f>'Pořadí - jednotlivci'!D25</f>
        <v>33970</v>
      </c>
      <c r="D25" s="64" t="str">
        <f>'Pořadí - jednotlivci'!E25</f>
        <v>Sokol Kutná Hora 'B'</v>
      </c>
      <c r="E25" s="71">
        <f>'Pořadí - jednotlivci'!I25</f>
        <v>65</v>
      </c>
    </row>
    <row r="26" spans="1:5" ht="15.75">
      <c r="A26" s="69" t="str">
        <f>'Pořadí - jednotlivci'!A26</f>
        <v>24.</v>
      </c>
      <c r="B26" s="64" t="str">
        <f>'Pořadí - jednotlivci'!C26</f>
        <v>Líbal Václav</v>
      </c>
      <c r="C26" s="70">
        <f>'Pořadí - jednotlivci'!D26</f>
        <v>33970</v>
      </c>
      <c r="D26" s="64" t="str">
        <f>'Pořadí - jednotlivci'!E26</f>
        <v>Sokol Kutná Hora 'B'</v>
      </c>
      <c r="E26" s="71">
        <f>'Pořadí - jednotlivci'!I26</f>
        <v>62</v>
      </c>
    </row>
    <row r="27" spans="1:5" ht="15.75">
      <c r="A27" s="69" t="str">
        <f>'Pořadí - jednotlivci'!A27</f>
        <v>25.</v>
      </c>
      <c r="B27" s="64" t="str">
        <f>'Pořadí - jednotlivci'!C27</f>
        <v>Arientová Veronika</v>
      </c>
      <c r="C27" s="70">
        <f>'Pořadí - jednotlivci'!D27</f>
        <v>32874</v>
      </c>
      <c r="D27" s="64" t="str">
        <f>'Pořadí - jednotlivci'!E27</f>
        <v>Sokol Chlístovice</v>
      </c>
      <c r="E27" s="71">
        <f>'Pořadí - jednotlivci'!I27</f>
        <v>45</v>
      </c>
    </row>
    <row r="28" spans="1:5" ht="15.75">
      <c r="A28" s="69" t="str">
        <f>'Pořadí - jednotlivci'!A28</f>
        <v>26.</v>
      </c>
      <c r="B28" s="64" t="str">
        <f>'Pořadí - jednotlivci'!C28</f>
        <v>Svobodová Iveta</v>
      </c>
      <c r="C28" s="70">
        <f>'Pořadí - jednotlivci'!D28</f>
        <v>33147</v>
      </c>
      <c r="D28" s="64" t="str">
        <f>'Pořadí - jednotlivci'!E28</f>
        <v>Sokol Chlístovice</v>
      </c>
      <c r="E28" s="71">
        <f>'Pořadí - jednotlivci'!I28</f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5">
      <selection activeCell="B14" sqref="B14"/>
    </sheetView>
  </sheetViews>
  <sheetFormatPr defaultColWidth="9.00390625" defaultRowHeight="12.75"/>
  <cols>
    <col min="1" max="1" width="3.75390625" style="69" customWidth="1"/>
    <col min="2" max="2" width="25.25390625" style="73" customWidth="1"/>
    <col min="3" max="7" width="9.125" style="71" customWidth="1"/>
    <col min="8" max="16384" width="9.125" style="64" customWidth="1"/>
  </cols>
  <sheetData>
    <row r="1" spans="1:3" ht="15.75">
      <c r="A1" s="74" t="s">
        <v>152</v>
      </c>
      <c r="C1" s="70"/>
    </row>
    <row r="2" spans="1:7" ht="15.75">
      <c r="A2" s="75"/>
      <c r="C2" s="71" t="str">
        <f>Družstva!D2</f>
        <v>1. hráč</v>
      </c>
      <c r="D2" s="71" t="str">
        <f>Družstva!E2</f>
        <v>2. hráč</v>
      </c>
      <c r="E2" s="71" t="str">
        <f>Družstva!F2</f>
        <v>3.hráč</v>
      </c>
      <c r="F2" s="71" t="str">
        <f>Družstva!G2</f>
        <v>Celkem</v>
      </c>
      <c r="G2" s="71" t="str">
        <f>Družstva!H2</f>
        <v>HB</v>
      </c>
    </row>
    <row r="3" spans="1:7" ht="15.75">
      <c r="A3" s="69" t="str">
        <f>Družstva!A3</f>
        <v>1.</v>
      </c>
      <c r="B3" s="73" t="str">
        <f>Družstva!B3</f>
        <v>Sokol Kutná Hora 'B'</v>
      </c>
      <c r="C3" s="71">
        <f>Družstva!D3</f>
        <v>273</v>
      </c>
      <c r="D3" s="71">
        <f>Družstva!E3</f>
        <v>226</v>
      </c>
      <c r="E3" s="71">
        <f>Družstva!F3</f>
        <v>208</v>
      </c>
      <c r="F3" s="71">
        <f>Družstva!G3</f>
        <v>707</v>
      </c>
      <c r="G3" s="71">
        <f>Družstva!H3</f>
        <v>5</v>
      </c>
    </row>
    <row r="4" spans="1:7" ht="15.75">
      <c r="A4" s="69" t="str">
        <f>Družstva!A4</f>
        <v>2.</v>
      </c>
      <c r="B4" s="73" t="str">
        <f>Družstva!B4</f>
        <v>Sokol Čáslav</v>
      </c>
      <c r="C4" s="71">
        <f>Družstva!D4</f>
        <v>196</v>
      </c>
      <c r="D4" s="71">
        <f>Družstva!E4</f>
        <v>184</v>
      </c>
      <c r="E4" s="71">
        <f>Družstva!F4</f>
        <v>151</v>
      </c>
      <c r="F4" s="71">
        <f>Družstva!G4</f>
        <v>531</v>
      </c>
      <c r="G4" s="71">
        <f>Družstva!H4</f>
        <v>4</v>
      </c>
    </row>
    <row r="5" spans="1:7" ht="15.75">
      <c r="A5" s="69" t="str">
        <f>Družstva!A5</f>
        <v>3.</v>
      </c>
      <c r="B5" s="73" t="str">
        <f>Družstva!B5</f>
        <v>Jiskra Zruč nad Sázavou 'B'</v>
      </c>
      <c r="C5" s="71">
        <f>Družstva!D5</f>
        <v>180</v>
      </c>
      <c r="D5" s="71">
        <f>Družstva!E5</f>
        <v>165</v>
      </c>
      <c r="E5" s="71">
        <f>Družstva!F5</f>
        <v>0</v>
      </c>
      <c r="F5" s="71">
        <f>Družstva!G5</f>
        <v>345</v>
      </c>
      <c r="G5" s="71">
        <f>Družstva!H5</f>
        <v>3</v>
      </c>
    </row>
    <row r="6" spans="1:7" ht="15.75">
      <c r="A6" s="69" t="str">
        <f>Družstva!A6</f>
        <v>4.</v>
      </c>
      <c r="B6" s="73" t="str">
        <f>Družstva!B6</f>
        <v>Sokol Chlístovice</v>
      </c>
      <c r="C6" s="71">
        <f>Družstva!D6</f>
        <v>120</v>
      </c>
      <c r="D6" s="71">
        <f>Družstva!E6</f>
        <v>45</v>
      </c>
      <c r="E6" s="71">
        <f>Družstva!F6</f>
        <v>45</v>
      </c>
      <c r="F6" s="71">
        <f>Družstva!G6</f>
        <v>210</v>
      </c>
      <c r="G6" s="71">
        <f>Družstva!H6</f>
        <v>2</v>
      </c>
    </row>
    <row r="7" spans="1:7" ht="15.75">
      <c r="A7" s="69" t="str">
        <f>Družstva!A7</f>
        <v>5.</v>
      </c>
      <c r="B7" s="73" t="str">
        <f>Družstva!B7</f>
        <v>Kavalier Sázava 'B'</v>
      </c>
      <c r="C7" s="71">
        <f>Družstva!D7</f>
        <v>105</v>
      </c>
      <c r="D7" s="71">
        <f>Družstva!E7</f>
        <v>0</v>
      </c>
      <c r="E7" s="71">
        <f>Družstva!F7</f>
        <v>0</v>
      </c>
      <c r="F7" s="71">
        <f>Družstva!G7</f>
        <v>105</v>
      </c>
      <c r="G7" s="71">
        <f>Družstva!H7</f>
        <v>1</v>
      </c>
    </row>
    <row r="9" ht="15.75">
      <c r="A9" s="74" t="s">
        <v>153</v>
      </c>
    </row>
    <row r="10" spans="1:7" ht="15.75">
      <c r="A10" s="75"/>
      <c r="C10" s="71" t="str">
        <f>Družstva!D11</f>
        <v>1. hráč</v>
      </c>
      <c r="D10" s="71" t="str">
        <f>Družstva!E11</f>
        <v>2. hráč</v>
      </c>
      <c r="E10" s="71" t="str">
        <f>Družstva!F11</f>
        <v>3.hráč</v>
      </c>
      <c r="F10" s="71" t="str">
        <f>Družstva!G11</f>
        <v>Celkem</v>
      </c>
      <c r="G10" s="71" t="str">
        <f>Družstva!H11</f>
        <v>HB</v>
      </c>
    </row>
    <row r="11" spans="1:7" ht="15.75">
      <c r="A11" s="69" t="str">
        <f>Družstva!A12</f>
        <v>1.</v>
      </c>
      <c r="B11" s="64" t="str">
        <f>Družstva!B12</f>
        <v>Jiskra Zruč nad Sázavou</v>
      </c>
      <c r="C11" s="71">
        <f>Družstva!D12</f>
        <v>274</v>
      </c>
      <c r="D11" s="71">
        <f>Družstva!E12</f>
        <v>217</v>
      </c>
      <c r="E11" s="71">
        <f>Družstva!F12</f>
        <v>180</v>
      </c>
      <c r="F11" s="71">
        <f>Družstva!G12</f>
        <v>671</v>
      </c>
      <c r="G11" s="71">
        <f>Družstva!H12</f>
        <v>5</v>
      </c>
    </row>
    <row r="12" spans="1:7" ht="15.75">
      <c r="A12" s="69" t="str">
        <f>Družstva!A13</f>
        <v>2.</v>
      </c>
      <c r="B12" s="64" t="str">
        <f>Družstva!B13</f>
        <v>Sokol Kutná Hora</v>
      </c>
      <c r="C12" s="71">
        <f>Družstva!D13</f>
        <v>300</v>
      </c>
      <c r="D12" s="71">
        <f>Družstva!E13</f>
        <v>208</v>
      </c>
      <c r="E12" s="71">
        <f>Družstva!F13</f>
        <v>160</v>
      </c>
      <c r="F12" s="71">
        <f>Družstva!G13</f>
        <v>668</v>
      </c>
      <c r="G12" s="71">
        <f>Družstva!H13</f>
        <v>4</v>
      </c>
    </row>
    <row r="13" spans="1:7" ht="15.75">
      <c r="A13" s="69" t="str">
        <f>Družstva!A14</f>
        <v>3.</v>
      </c>
      <c r="B13" s="64" t="str">
        <f>Družstva!B14</f>
        <v>Sokol Čáslav</v>
      </c>
      <c r="C13" s="71">
        <f>Družstva!D14</f>
        <v>196</v>
      </c>
      <c r="D13" s="71">
        <f>Družstva!E14</f>
        <v>184</v>
      </c>
      <c r="E13" s="71">
        <f>Družstva!F14</f>
        <v>151</v>
      </c>
      <c r="F13" s="71">
        <f>Družstva!G14</f>
        <v>531</v>
      </c>
      <c r="G13" s="71">
        <f>Družstva!H14</f>
        <v>3</v>
      </c>
    </row>
    <row r="14" spans="1:7" ht="15.75">
      <c r="A14" s="69" t="str">
        <f>Družstva!A15</f>
        <v>4.</v>
      </c>
      <c r="B14" s="64" t="str">
        <f>Družstva!B15</f>
        <v>Kavalier Sázava</v>
      </c>
      <c r="C14" s="71">
        <f>Družstva!D15</f>
        <v>256</v>
      </c>
      <c r="D14" s="71">
        <f>Družstva!E15</f>
        <v>105</v>
      </c>
      <c r="E14" s="71">
        <f>Družstva!F15</f>
        <v>0</v>
      </c>
      <c r="F14" s="71">
        <f>Družstva!G15</f>
        <v>361</v>
      </c>
      <c r="G14" s="71">
        <f>Družstva!H15</f>
        <v>2</v>
      </c>
    </row>
    <row r="15" spans="1:7" ht="15.75">
      <c r="A15" s="69" t="str">
        <f>Družstva!A16</f>
        <v>5.</v>
      </c>
      <c r="B15" s="64" t="str">
        <f>Družstva!B16</f>
        <v>Sokol Chlístovice</v>
      </c>
      <c r="C15" s="71">
        <f>Družstva!D16</f>
        <v>120</v>
      </c>
      <c r="D15" s="71">
        <f>Družstva!E16</f>
        <v>45</v>
      </c>
      <c r="E15" s="71">
        <f>Družstva!F16</f>
        <v>45</v>
      </c>
      <c r="F15" s="71">
        <f>Družstva!G16</f>
        <v>210</v>
      </c>
      <c r="G15" s="71">
        <f>Družstva!H16</f>
        <v>1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&amp;C&amp;"Times New Roman CE,obyčejné"&amp;14Výsledky 4. OP žactva</oddHeader>
    <oddFooter>&amp;C&amp;"Times New Roman CE,obyčejné"Strana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HeVaSoft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Herout</dc:creator>
  <cp:keywords/>
  <dc:description/>
  <cp:lastModifiedBy>Václav Herout</cp:lastModifiedBy>
  <cp:lastPrinted>2001-10-02T19:17:58Z</cp:lastPrinted>
  <dcterms:created xsi:type="dcterms:W3CDTF">2000-09-08T06:16:21Z</dcterms:created>
  <dcterms:modified xsi:type="dcterms:W3CDTF">2002-04-01T22:23:59Z</dcterms:modified>
  <cp:category/>
  <cp:version/>
  <cp:contentType/>
  <cp:contentStatus/>
</cp:coreProperties>
</file>